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9200" windowHeight="11310"/>
  </bookViews>
  <sheets>
    <sheet name="2016 წელი" sheetId="1" r:id="rId1"/>
    <sheet name="Sheet1" sheetId="2" r:id="rId2"/>
  </sheets>
  <externalReferences>
    <externalReference r:id="rId3"/>
  </externalReferences>
  <definedNames>
    <definedName name="_xlnm._FilterDatabase" localSheetId="0" hidden="1">'2016 წელი'!$B$8:$AC$56</definedName>
    <definedName name="_xlnm.Print_Area" localSheetId="0">'2016 წელი'!$A$1:$AC$65</definedName>
    <definedName name="_xlnm.Print_Titles" localSheetId="0">'2016 წელი'!$5:$7</definedName>
  </definedNames>
  <calcPr calcId="145621"/>
</workbook>
</file>

<file path=xl/calcChain.xml><?xml version="1.0" encoding="utf-8"?>
<calcChain xmlns="http://schemas.openxmlformats.org/spreadsheetml/2006/main">
  <c r="I14" i="1" l="1"/>
  <c r="I21" i="1"/>
  <c r="V21" i="1"/>
  <c r="I10" i="1" l="1"/>
  <c r="X10" i="1"/>
  <c r="X9" i="1"/>
  <c r="V9" i="1"/>
  <c r="AE51" i="1" l="1"/>
  <c r="AD17" i="1" l="1"/>
  <c r="AE19" i="1"/>
  <c r="AE18" i="1"/>
  <c r="AE17" i="1"/>
  <c r="X8" i="1" l="1"/>
  <c r="AA56" i="1"/>
  <c r="AA8" i="1" s="1"/>
  <c r="AB56" i="1"/>
  <c r="AB8" i="1" s="1"/>
  <c r="V61" i="1"/>
  <c r="AB61" i="1"/>
  <c r="Y61" i="1"/>
  <c r="AB60" i="1"/>
  <c r="AB59" i="1"/>
  <c r="AA57" i="1"/>
  <c r="AB58" i="1"/>
  <c r="V57" i="1"/>
  <c r="AB57" i="1"/>
  <c r="Y57" i="1"/>
  <c r="H56" i="1"/>
  <c r="AA50" i="1"/>
  <c r="AB50" i="1"/>
  <c r="AA55" i="1"/>
  <c r="S55" i="1"/>
  <c r="AA51" i="1"/>
  <c r="V54" i="1"/>
  <c r="V52" i="1"/>
  <c r="I52" i="1"/>
  <c r="I53" i="1"/>
  <c r="I54" i="1"/>
  <c r="AB51" i="1"/>
  <c r="AB52" i="1"/>
  <c r="Y54" i="1"/>
  <c r="AB53" i="1"/>
  <c r="Y52" i="1"/>
  <c r="AB45" i="1"/>
  <c r="AA45" i="1"/>
  <c r="AA46" i="1"/>
  <c r="AA47" i="1"/>
  <c r="AB49" i="1"/>
  <c r="AB48" i="1"/>
  <c r="AB47" i="1"/>
  <c r="V46" i="1"/>
  <c r="AA35" i="1" l="1"/>
  <c r="AA36" i="1"/>
  <c r="AA37" i="1"/>
  <c r="V44" i="1"/>
  <c r="V43" i="1"/>
  <c r="V42" i="1"/>
  <c r="V41" i="1"/>
  <c r="F37" i="1"/>
  <c r="L37" i="1"/>
  <c r="M37" i="1"/>
  <c r="N37" i="1"/>
  <c r="O37" i="1"/>
  <c r="P37" i="1"/>
  <c r="Q37" i="1"/>
  <c r="R37" i="1"/>
  <c r="S37" i="1"/>
  <c r="T37" i="1"/>
  <c r="U37" i="1"/>
  <c r="W37" i="1"/>
  <c r="K37" i="1"/>
  <c r="L38" i="1"/>
  <c r="M38" i="1"/>
  <c r="N38" i="1"/>
  <c r="O38" i="1"/>
  <c r="P38" i="1"/>
  <c r="Q38" i="1"/>
  <c r="R38" i="1"/>
  <c r="S38" i="1"/>
  <c r="T38" i="1"/>
  <c r="U38" i="1"/>
  <c r="V38" i="1"/>
  <c r="W38" i="1"/>
  <c r="K38" i="1"/>
  <c r="V40" i="1"/>
  <c r="Y40" i="1"/>
  <c r="V39" i="1"/>
  <c r="V36" i="1"/>
  <c r="V34" i="1"/>
  <c r="AA30" i="1"/>
  <c r="AA33" i="1"/>
  <c r="V33" i="1"/>
  <c r="AA32" i="1"/>
  <c r="V32" i="1"/>
  <c r="Y32" i="1"/>
  <c r="AA31" i="1"/>
  <c r="V31" i="1"/>
  <c r="H30" i="1"/>
  <c r="X14" i="1"/>
  <c r="X21" i="1"/>
  <c r="AB21" i="1"/>
  <c r="AA21" i="1"/>
  <c r="AA28" i="1"/>
  <c r="AA29" i="1"/>
  <c r="V29" i="1"/>
  <c r="I27" i="1"/>
  <c r="I28" i="1"/>
  <c r="AA26" i="1"/>
  <c r="AB27" i="1"/>
  <c r="V26" i="1"/>
  <c r="AA25" i="1"/>
  <c r="AB25" i="1"/>
  <c r="V25" i="1"/>
  <c r="AA24" i="1"/>
  <c r="AB24" i="1"/>
  <c r="AA22" i="1"/>
  <c r="AA23" i="1"/>
  <c r="V24" i="1"/>
  <c r="AB23" i="1"/>
  <c r="V23" i="1"/>
  <c r="V22" i="1"/>
  <c r="AB14" i="1"/>
  <c r="AA14" i="1"/>
  <c r="Z14" i="1"/>
  <c r="AA20" i="1"/>
  <c r="AA17" i="1"/>
  <c r="AB17" i="1"/>
  <c r="AB18" i="1"/>
  <c r="V19" i="1"/>
  <c r="V18" i="1"/>
  <c r="V37" i="1" l="1"/>
  <c r="AA16" i="1" l="1"/>
  <c r="Z16" i="1"/>
  <c r="Y16" i="1"/>
  <c r="AB16" i="1"/>
  <c r="AA13" i="1"/>
  <c r="AA9" i="1"/>
  <c r="AB9" i="1"/>
  <c r="AC9" i="1"/>
  <c r="Z9" i="1"/>
  <c r="Z13" i="1"/>
  <c r="AA11" i="1"/>
  <c r="AA12" i="1"/>
  <c r="AA10" i="1"/>
  <c r="V12" i="1"/>
  <c r="Z12" i="1" s="1"/>
  <c r="Y12" i="1"/>
  <c r="AC12" i="1"/>
  <c r="AB12" i="1"/>
  <c r="Z11" i="1"/>
  <c r="Y11" i="1"/>
  <c r="Z10" i="1"/>
  <c r="V13" i="1" l="1"/>
  <c r="X11" i="1"/>
  <c r="X18" i="1"/>
  <c r="X19" i="1"/>
  <c r="X27" i="1"/>
  <c r="AA27" i="1" s="1"/>
  <c r="X28" i="1"/>
  <c r="X62" i="1"/>
  <c r="X63" i="1"/>
  <c r="X64" i="1"/>
  <c r="X65" i="1"/>
  <c r="V11" i="1"/>
  <c r="V10" i="1"/>
  <c r="G14" i="1" l="1"/>
  <c r="H14" i="1"/>
  <c r="H9" i="1"/>
  <c r="H26" i="1" l="1"/>
  <c r="H21" i="1" s="1"/>
  <c r="S9" i="1" l="1"/>
  <c r="S56" i="1"/>
  <c r="T56" i="1"/>
  <c r="U56" i="1"/>
  <c r="V56" i="1"/>
  <c r="W56" i="1"/>
  <c r="R56" i="1"/>
  <c r="S35" i="1"/>
  <c r="S42" i="1"/>
  <c r="R20" i="1"/>
  <c r="Q20" i="1"/>
  <c r="Q24" i="1" l="1"/>
  <c r="T63" i="1"/>
  <c r="U63" i="1"/>
  <c r="V63" i="1"/>
  <c r="W63" i="1"/>
  <c r="S63" i="1"/>
  <c r="I63" i="1" s="1"/>
  <c r="J63" i="1" l="1"/>
  <c r="Q29" i="1" l="1"/>
  <c r="Q25" i="1"/>
  <c r="I20" i="1" l="1"/>
  <c r="X20" i="1" s="1"/>
  <c r="P29" i="1"/>
  <c r="I48" i="1" l="1"/>
  <c r="I49" i="1"/>
  <c r="I39" i="1"/>
  <c r="I40" i="1"/>
  <c r="I41" i="1"/>
  <c r="I42" i="1"/>
  <c r="I43" i="1"/>
  <c r="I44" i="1"/>
  <c r="I38" i="1" l="1"/>
  <c r="I37" i="1" s="1"/>
  <c r="H55" i="1"/>
  <c r="H50" i="1" s="1"/>
  <c r="P21" i="1" l="1"/>
  <c r="L21" i="1"/>
  <c r="K21" i="1"/>
  <c r="I29" i="1"/>
  <c r="I26" i="1"/>
  <c r="O23" i="1"/>
  <c r="J29" i="1" l="1"/>
  <c r="X29" i="1"/>
  <c r="J26" i="1"/>
  <c r="X26" i="1"/>
  <c r="N15" i="1"/>
  <c r="D4" i="2" l="1"/>
  <c r="Q21" i="1" l="1"/>
  <c r="R21" i="1"/>
  <c r="S21" i="1"/>
  <c r="T21" i="1"/>
  <c r="U21" i="1"/>
  <c r="W21" i="1"/>
  <c r="M21" i="1"/>
  <c r="N21" i="1"/>
  <c r="O21" i="1"/>
  <c r="F21" i="1"/>
  <c r="K47" i="1" l="1"/>
  <c r="I22" i="1"/>
  <c r="X22" i="1" s="1"/>
  <c r="K17" i="1"/>
  <c r="J10" i="1"/>
  <c r="L56" i="1"/>
  <c r="M56" i="1"/>
  <c r="N56" i="1"/>
  <c r="O56" i="1"/>
  <c r="P56" i="1"/>
  <c r="Q56" i="1"/>
  <c r="K56" i="1"/>
  <c r="M50" i="1"/>
  <c r="W51" i="1"/>
  <c r="W50" i="1" s="1"/>
  <c r="L51" i="1"/>
  <c r="L50" i="1" s="1"/>
  <c r="M51" i="1"/>
  <c r="N51" i="1"/>
  <c r="N50" i="1" s="1"/>
  <c r="O51" i="1"/>
  <c r="O50" i="1" s="1"/>
  <c r="P51" i="1"/>
  <c r="P50" i="1" s="1"/>
  <c r="Q51" i="1"/>
  <c r="R51" i="1"/>
  <c r="R50" i="1" s="1"/>
  <c r="S51" i="1"/>
  <c r="S50" i="1" s="1"/>
  <c r="T51" i="1"/>
  <c r="T50" i="1" s="1"/>
  <c r="U51" i="1"/>
  <c r="U50" i="1" s="1"/>
  <c r="V51" i="1"/>
  <c r="V50" i="1" s="1"/>
  <c r="K51" i="1"/>
  <c r="K50" i="1" s="1"/>
  <c r="L47" i="1"/>
  <c r="L45" i="1" s="1"/>
  <c r="M47" i="1"/>
  <c r="M45" i="1" s="1"/>
  <c r="N47" i="1"/>
  <c r="N45" i="1" s="1"/>
  <c r="O47" i="1"/>
  <c r="O45" i="1" s="1"/>
  <c r="P47" i="1"/>
  <c r="P45" i="1" s="1"/>
  <c r="Q47" i="1"/>
  <c r="Q45" i="1" s="1"/>
  <c r="R47" i="1"/>
  <c r="R45" i="1" s="1"/>
  <c r="S47" i="1"/>
  <c r="S45" i="1" s="1"/>
  <c r="T47" i="1"/>
  <c r="T45" i="1" s="1"/>
  <c r="U47" i="1"/>
  <c r="U45" i="1" s="1"/>
  <c r="V47" i="1"/>
  <c r="V45" i="1" s="1"/>
  <c r="W47" i="1"/>
  <c r="W45" i="1" s="1"/>
  <c r="K45" i="1"/>
  <c r="L35" i="1"/>
  <c r="M35" i="1"/>
  <c r="N35" i="1"/>
  <c r="O35" i="1"/>
  <c r="P35" i="1"/>
  <c r="Q35" i="1"/>
  <c r="R35" i="1"/>
  <c r="T35" i="1"/>
  <c r="V35" i="1"/>
  <c r="W35" i="1"/>
  <c r="U35" i="1"/>
  <c r="I34" i="1"/>
  <c r="L30" i="1"/>
  <c r="M30" i="1"/>
  <c r="N30" i="1"/>
  <c r="O30" i="1"/>
  <c r="P30" i="1"/>
  <c r="Q30" i="1"/>
  <c r="R30" i="1"/>
  <c r="S30" i="1"/>
  <c r="T30" i="1"/>
  <c r="U30" i="1"/>
  <c r="W30" i="1"/>
  <c r="K30" i="1"/>
  <c r="I25" i="1"/>
  <c r="I24" i="1"/>
  <c r="I23" i="1"/>
  <c r="K14" i="1"/>
  <c r="L17" i="1"/>
  <c r="M17" i="1"/>
  <c r="N17" i="1"/>
  <c r="O17" i="1"/>
  <c r="O14" i="1" s="1"/>
  <c r="P17" i="1"/>
  <c r="P14" i="1" s="1"/>
  <c r="Q17" i="1"/>
  <c r="Q14" i="1" s="1"/>
  <c r="R17" i="1"/>
  <c r="S17" i="1"/>
  <c r="S14" i="1" s="1"/>
  <c r="T17" i="1"/>
  <c r="T14" i="1" s="1"/>
  <c r="U17" i="1"/>
  <c r="V17" i="1"/>
  <c r="V14" i="1" s="1"/>
  <c r="W17" i="1"/>
  <c r="W14" i="1" s="1"/>
  <c r="L14" i="1"/>
  <c r="M14" i="1"/>
  <c r="R14" i="1"/>
  <c r="U14" i="1"/>
  <c r="K9" i="1"/>
  <c r="I15" i="1"/>
  <c r="X15" i="1" s="1"/>
  <c r="I16" i="1"/>
  <c r="X16" i="1" s="1"/>
  <c r="J20" i="1"/>
  <c r="I32" i="1"/>
  <c r="I33" i="1"/>
  <c r="I36" i="1"/>
  <c r="I46" i="1"/>
  <c r="X46" i="1" s="1"/>
  <c r="I55" i="1"/>
  <c r="I57" i="1"/>
  <c r="I58" i="1"/>
  <c r="I59" i="1"/>
  <c r="I60" i="1"/>
  <c r="I61" i="1"/>
  <c r="J62" i="1"/>
  <c r="M9" i="1"/>
  <c r="L9" i="1"/>
  <c r="L8" i="1" s="1"/>
  <c r="I11" i="1"/>
  <c r="J11" i="1" s="1"/>
  <c r="I12" i="1"/>
  <c r="I13" i="1"/>
  <c r="G8" i="1"/>
  <c r="H8" i="1"/>
  <c r="F56" i="1"/>
  <c r="J61" i="1" l="1"/>
  <c r="X61" i="1"/>
  <c r="AA61" i="1" s="1"/>
  <c r="J60" i="1"/>
  <c r="X60" i="1"/>
  <c r="AA60" i="1" s="1"/>
  <c r="J59" i="1"/>
  <c r="X59" i="1"/>
  <c r="AA59" i="1" s="1"/>
  <c r="J58" i="1"/>
  <c r="X58" i="1"/>
  <c r="AA58" i="1" s="1"/>
  <c r="J57" i="1"/>
  <c r="X57" i="1"/>
  <c r="J55" i="1"/>
  <c r="X55" i="1"/>
  <c r="J36" i="1"/>
  <c r="X36" i="1"/>
  <c r="J34" i="1"/>
  <c r="X34" i="1"/>
  <c r="J33" i="1"/>
  <c r="X33" i="1"/>
  <c r="J32" i="1"/>
  <c r="X32" i="1"/>
  <c r="J25" i="1"/>
  <c r="X25" i="1"/>
  <c r="J24" i="1"/>
  <c r="X24" i="1"/>
  <c r="J23" i="1"/>
  <c r="X23" i="1"/>
  <c r="J13" i="1"/>
  <c r="X13" i="1"/>
  <c r="J12" i="1"/>
  <c r="X12" i="1"/>
  <c r="M8" i="1"/>
  <c r="S8" i="1"/>
  <c r="J15" i="1"/>
  <c r="I9" i="1"/>
  <c r="I17" i="1"/>
  <c r="I51" i="1"/>
  <c r="Q50" i="1"/>
  <c r="J22" i="1"/>
  <c r="X37" i="1"/>
  <c r="J16" i="1"/>
  <c r="I47" i="1"/>
  <c r="X47" i="1" s="1"/>
  <c r="N14" i="1"/>
  <c r="N8" i="1" s="1"/>
  <c r="I56" i="1"/>
  <c r="K35" i="1"/>
  <c r="K8" i="1" s="1"/>
  <c r="N9" i="1"/>
  <c r="O9" i="1"/>
  <c r="O8" i="1" s="1"/>
  <c r="P9" i="1"/>
  <c r="P8" i="1" s="1"/>
  <c r="Q9" i="1"/>
  <c r="Q8" i="1" s="1"/>
  <c r="R9" i="1"/>
  <c r="R8" i="1" s="1"/>
  <c r="T9" i="1"/>
  <c r="T8" i="1" s="1"/>
  <c r="U9" i="1"/>
  <c r="U8" i="1" s="1"/>
  <c r="W9" i="1"/>
  <c r="W8" i="1" s="1"/>
  <c r="J56" i="1" l="1"/>
  <c r="X56" i="1"/>
  <c r="J51" i="1"/>
  <c r="X51" i="1"/>
  <c r="J21" i="1"/>
  <c r="J17" i="1"/>
  <c r="X17" i="1"/>
  <c r="J9" i="1"/>
  <c r="I50" i="1"/>
  <c r="I35" i="1"/>
  <c r="X35" i="1" s="1"/>
  <c r="I45" i="1"/>
  <c r="X45" i="1" s="1"/>
  <c r="J47" i="1"/>
  <c r="F46" i="1"/>
  <c r="J46" i="1" s="1"/>
  <c r="F35" i="1"/>
  <c r="J44" i="1"/>
  <c r="F9" i="1"/>
  <c r="J50" i="1" l="1"/>
  <c r="X50" i="1"/>
  <c r="J35" i="1"/>
  <c r="J37" i="1"/>
  <c r="F50" i="1"/>
  <c r="F30" i="1"/>
  <c r="F45" i="1" l="1"/>
  <c r="J45" i="1" s="1"/>
  <c r="E56" i="1" l="1"/>
  <c r="D8" i="1"/>
  <c r="F14" i="1"/>
  <c r="F8" i="1" s="1"/>
  <c r="J14" i="1" l="1"/>
  <c r="I31" i="1"/>
  <c r="I30" i="1" s="1"/>
  <c r="V30" i="1"/>
  <c r="V8" i="1" s="1"/>
  <c r="I8" i="1" s="1"/>
  <c r="P2" i="1" l="1"/>
  <c r="J8" i="1"/>
  <c r="X30" i="1"/>
  <c r="J30" i="1"/>
  <c r="X31" i="1"/>
  <c r="J31" i="1"/>
</calcChain>
</file>

<file path=xl/comments1.xml><?xml version="1.0" encoding="utf-8"?>
<comments xmlns="http://schemas.openxmlformats.org/spreadsheetml/2006/main">
  <authors>
    <author>Khvicha Getia</author>
  </authors>
  <commentList>
    <comment ref="AB12" authorId="0">
      <text>
        <r>
          <rPr>
            <b/>
            <sz val="9"/>
            <color indexed="81"/>
            <rFont val="Tahoma"/>
            <family val="2"/>
            <charset val="204"/>
          </rPr>
          <t>Khvicha Getia:</t>
        </r>
        <r>
          <rPr>
            <sz val="9"/>
            <color indexed="81"/>
            <rFont val="Tahoma"/>
            <family val="2"/>
            <charset val="204"/>
          </rPr>
          <t xml:space="preserve">
გლობალმედის ტენდერზე ეკონომია</t>
        </r>
      </text>
    </comment>
    <comment ref="W15" authorId="0">
      <text>
        <r>
          <rPr>
            <b/>
            <sz val="9"/>
            <color indexed="81"/>
            <rFont val="Tahoma"/>
            <family val="2"/>
            <charset val="204"/>
          </rPr>
          <t>Khvicha Getia:</t>
        </r>
        <r>
          <rPr>
            <sz val="9"/>
            <color indexed="81"/>
            <rFont val="Tahoma"/>
            <family val="2"/>
            <charset val="204"/>
          </rPr>
          <t xml:space="preserve">
წლის ბოლოს იუნისეფისგან უნდა ვიყიდოთ ვაქცინები</t>
        </r>
      </text>
    </comment>
    <comment ref="AB16" authorId="0">
      <text>
        <r>
          <rPr>
            <b/>
            <sz val="9"/>
            <color indexed="81"/>
            <rFont val="Tahoma"/>
            <family val="2"/>
            <charset val="204"/>
          </rPr>
          <t>Khvicha Getia:</t>
        </r>
        <r>
          <rPr>
            <sz val="9"/>
            <color indexed="81"/>
            <rFont val="Tahoma"/>
            <family val="2"/>
            <charset val="204"/>
          </rPr>
          <t xml:space="preserve">
ბოტულიზმ დიფტერიის შრატების ეკონომია</t>
        </r>
      </text>
    </comment>
    <comment ref="V18" authorId="0">
      <text>
        <r>
          <rPr>
            <b/>
            <sz val="9"/>
            <color indexed="81"/>
            <rFont val="Tahoma"/>
            <family val="2"/>
            <charset val="204"/>
          </rPr>
          <t>Khvicha Getia:</t>
        </r>
        <r>
          <rPr>
            <sz val="9"/>
            <color indexed="81"/>
            <rFont val="Tahoma"/>
            <family val="2"/>
            <charset val="204"/>
          </rPr>
          <t xml:space="preserve">
გლაქსო</t>
        </r>
      </text>
    </comment>
    <comment ref="W18" authorId="0">
      <text>
        <r>
          <rPr>
            <b/>
            <sz val="9"/>
            <color indexed="81"/>
            <rFont val="Tahoma"/>
            <family val="2"/>
            <charset val="204"/>
          </rPr>
          <t>Khvicha Getia:</t>
        </r>
        <r>
          <rPr>
            <sz val="9"/>
            <color indexed="81"/>
            <rFont val="Tahoma"/>
            <family val="2"/>
            <charset val="204"/>
          </rPr>
          <t xml:space="preserve">
ჯიპისი გადაუდებელი სანოფის ვაქცინა
6000 დოზა</t>
        </r>
      </text>
    </comment>
    <comment ref="AB18" authorId="0">
      <text>
        <r>
          <rPr>
            <b/>
            <sz val="9"/>
            <color indexed="81"/>
            <rFont val="Tahoma"/>
            <family val="2"/>
            <charset val="204"/>
          </rPr>
          <t>Khvicha Getia:</t>
        </r>
        <r>
          <rPr>
            <sz val="9"/>
            <color indexed="81"/>
            <rFont val="Tahoma"/>
            <family val="2"/>
            <charset val="204"/>
          </rPr>
          <t xml:space="preserve">
გლაქსოს ტენდერზე ეკონომია</t>
        </r>
      </text>
    </comment>
    <comment ref="V19" authorId="0">
      <text>
        <r>
          <rPr>
            <b/>
            <sz val="9"/>
            <color indexed="81"/>
            <rFont val="Tahoma"/>
            <family val="2"/>
            <charset val="204"/>
          </rPr>
          <t>Khvicha Getia:</t>
        </r>
        <r>
          <rPr>
            <sz val="9"/>
            <color indexed="81"/>
            <rFont val="Tahoma"/>
            <family val="2"/>
            <charset val="204"/>
          </rPr>
          <t xml:space="preserve">
სანოფის იმუნოგლობულინი</t>
        </r>
      </text>
    </comment>
    <comment ref="W19" authorId="0">
      <text>
        <r>
          <rPr>
            <b/>
            <sz val="9"/>
            <color indexed="81"/>
            <rFont val="Tahoma"/>
            <family val="2"/>
            <charset val="204"/>
          </rPr>
          <t>Khvicha Getia:</t>
        </r>
        <r>
          <rPr>
            <sz val="9"/>
            <color indexed="81"/>
            <rFont val="Tahoma"/>
            <family val="2"/>
            <charset val="204"/>
          </rPr>
          <t xml:space="preserve">
ჯიპისი გადაუდებელი 6000 ფლაკონი იმუნოგლობულინი</t>
        </r>
      </text>
    </comment>
    <comment ref="V20" authorId="0">
      <text>
        <r>
          <rPr>
            <b/>
            <sz val="9"/>
            <color indexed="81"/>
            <rFont val="Tahoma"/>
            <family val="2"/>
            <charset val="204"/>
          </rPr>
          <t>Khvicha Getia:</t>
        </r>
        <r>
          <rPr>
            <sz val="9"/>
            <color indexed="81"/>
            <rFont val="Tahoma"/>
            <family val="2"/>
            <charset val="204"/>
          </rPr>
          <t xml:space="preserve">
გრიპის ვაქცინაცია</t>
        </r>
      </text>
    </comment>
    <comment ref="AB23" authorId="0">
      <text>
        <r>
          <rPr>
            <b/>
            <sz val="9"/>
            <color indexed="81"/>
            <rFont val="Tahoma"/>
            <family val="2"/>
            <charset val="204"/>
          </rPr>
          <t>Khvicha Getia:</t>
        </r>
        <r>
          <rPr>
            <sz val="9"/>
            <color indexed="81"/>
            <rFont val="Tahoma"/>
            <family val="2"/>
            <charset val="204"/>
          </rPr>
          <t xml:space="preserve">
სოლფაკის ეკონომია 800 ლარი, ხოლო ლაბექსის ტენდერიდან მალარიის კომპონენტზე 4114 ლარი</t>
        </r>
      </text>
    </comment>
    <comment ref="AB24" authorId="0">
      <text>
        <r>
          <rPr>
            <b/>
            <sz val="9"/>
            <color indexed="81"/>
            <rFont val="Tahoma"/>
            <family val="2"/>
            <charset val="204"/>
          </rPr>
          <t>Khvicha Getia:</t>
        </r>
        <r>
          <rPr>
            <sz val="9"/>
            <color indexed="81"/>
            <rFont val="Tahoma"/>
            <family val="2"/>
            <charset val="204"/>
          </rPr>
          <t xml:space="preserve">
ლაბექსი და მედიქალ ბიოს ჯორჯიას ტენდერებიდან</t>
        </r>
      </text>
    </comment>
    <comment ref="V27" authorId="0">
      <text>
        <r>
          <rPr>
            <b/>
            <sz val="9"/>
            <color indexed="81"/>
            <rFont val="Tahoma"/>
            <family val="2"/>
            <charset val="204"/>
          </rPr>
          <t>Khvicha Getia:</t>
        </r>
        <r>
          <rPr>
            <sz val="9"/>
            <color indexed="81"/>
            <rFont val="Tahoma"/>
            <family val="2"/>
            <charset val="204"/>
          </rPr>
          <t xml:space="preserve">
ჯიპისიმ უნდა მოგვაწოდოს 20 ათასი დოზა ვაქცინა</t>
        </r>
      </text>
    </comment>
    <comment ref="V28" authorId="0">
      <text>
        <r>
          <rPr>
            <b/>
            <sz val="9"/>
            <color indexed="81"/>
            <rFont val="Tahoma"/>
            <family val="2"/>
            <charset val="204"/>
          </rPr>
          <t>Khvicha Getia:</t>
        </r>
        <r>
          <rPr>
            <sz val="9"/>
            <color indexed="81"/>
            <rFont val="Tahoma"/>
            <family val="2"/>
            <charset val="204"/>
          </rPr>
          <t xml:space="preserve">
საყრდენი ბაზის მომსახურება 6 ათასი, სახარჯების შესყიდვა 110700 ტენდერი</t>
        </r>
      </text>
    </comment>
  </commentList>
</comments>
</file>

<file path=xl/sharedStrings.xml><?xml version="1.0" encoding="utf-8"?>
<sst xmlns="http://schemas.openxmlformats.org/spreadsheetml/2006/main" count="119" uniqueCount="96">
  <si>
    <t>სახელმწიფო პროგრამების ((გარდა "მოსახლეობის საყოველთაო ჯანმრთელობის დაცვის" და "სამედიცინო დაწესებულებათა რეაბილიტაცია და აღჭურვის" პროგრამებისა) საკასო შესრულების ანგარიში</t>
  </si>
  <si>
    <t>ლარი</t>
  </si>
  <si>
    <t>პროგრამული კოდი</t>
  </si>
  <si>
    <t>დასახელება</t>
  </si>
  <si>
    <t>დამტკიცებული ბიუჯეტი</t>
  </si>
  <si>
    <t>დაზუსტებული ბიუჯეტი</t>
  </si>
  <si>
    <t>საკასო ხარჯი სულ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</si>
  <si>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</si>
  <si>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</si>
  <si>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</si>
  <si>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</si>
  <si>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</si>
  <si>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</si>
  <si>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</si>
  <si>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</si>
  <si>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</si>
  <si>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</si>
  <si>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 xml:space="preserve">დეკემბერი </t>
  </si>
  <si>
    <t>თანხა</t>
  </si>
  <si>
    <t>სულ</t>
  </si>
  <si>
    <t>35030201</t>
  </si>
  <si>
    <t>დაავადებათა ადრეული გამოვლენა და სკრინინგის სახელმწიფო პროგრამა</t>
  </si>
  <si>
    <t>35030202</t>
  </si>
  <si>
    <t>იმუნიზაციის სახელმწიფო პროგრამა</t>
  </si>
  <si>
    <t>35030203</t>
  </si>
  <si>
    <t>ეპიდზედამხედველობის პროგრამა</t>
  </si>
  <si>
    <t>35030204</t>
  </si>
  <si>
    <t>უსაფრთხო სისხლის სახელმწიფო პროგრამა</t>
  </si>
  <si>
    <t>35030205</t>
  </si>
  <si>
    <t>პროფესიულ დაავადებათა პრევენციის სახელმწიფო პროგრამა</t>
  </si>
  <si>
    <t>35030207</t>
  </si>
  <si>
    <t>ტუბერკულოზის მართვის სახელმწიფო</t>
  </si>
  <si>
    <t>35030208</t>
  </si>
  <si>
    <t>აივ-ინფექცია/შიდსის სახელმწიფო პროგრამა</t>
  </si>
  <si>
    <t>აივ-ინფექცია/შიდსზე ნებაყოფლობითი კონსულტირება და ტესტირება</t>
  </si>
  <si>
    <t>მ.შ. აივ-ინფექცია/შიდსზე სკრინინგული კვლევისათვის საჭირო ტესტ-სისტემების და სახარჯი მასალების შესყიდვა</t>
  </si>
  <si>
    <t>35030209</t>
  </si>
  <si>
    <t>დედათა და ბავშვთა ჯანმრთელობის სახელმწიფო პროგრმა</t>
  </si>
  <si>
    <t>ჯანმრთელობის ხელშეწყობის პროგრამა</t>
  </si>
  <si>
    <t xml:space="preserve"> ანტირაბიული ვაქცინა</t>
  </si>
  <si>
    <t xml:space="preserve"> ანტირაბიული  იმუნოგლობულინი</t>
  </si>
  <si>
    <t>ტესტები</t>
  </si>
  <si>
    <t>სახარჯი მასალა</t>
  </si>
  <si>
    <t>ხელფასი</t>
  </si>
  <si>
    <t>საქართველოს ფოსტა</t>
  </si>
  <si>
    <t>საწვავი</t>
  </si>
  <si>
    <t>ავტომანქანების შეკეთება</t>
  </si>
  <si>
    <t>B ჰეპატიტის იმუნოგლობულინი</t>
  </si>
  <si>
    <t>კიბოს  სკრინინგის კომპონენტი</t>
  </si>
  <si>
    <t>საშვილოსნოს ყელის ორგანიზებული სკრინინგის პილოტი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</si>
  <si>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</si>
  <si>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ეპილეფსიის დიაგნოსტიკა და ზედამხედველობა</t>
  </si>
  <si>
    <t xml:space="preserve"> ვაქცინებისა და ასაცრელი მასალების შესყიდვა</t>
  </si>
  <si>
    <t xml:space="preserve"> სპეციფიკური შრატებისა და ვაქცინების შესყიდვა</t>
  </si>
  <si>
    <t xml:space="preserve"> ანტირაბიული სამკურნალო საშუალებებით უზრუნველყოფა</t>
  </si>
  <si>
    <t xml:space="preserve"> აცრა-ვიზიტისა და ექიმის კონსულტაციის მომსახურება</t>
  </si>
  <si>
    <t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 (მე-3 მუხლის „ა“, „ბ“ და „გ“ ქვეპუნქტები)</t>
  </si>
  <si>
    <t>მალარიისა და სხვა პარაზიტული დაავადებების პრევენციისა და კონტროლის გაუმჯობესება</t>
  </si>
  <si>
    <t>ნოზოკომიური ინფექციების ეპიდზედამხედველობა</t>
  </si>
  <si>
    <t>ვირუსული დიარეების კვლევა</t>
  </si>
  <si>
    <t>დონორული სისხლის კვლევას B და C ჰეპატიტზე, აივ-ინფექციაზე/შიდსზე და ათაშანგზე</t>
  </si>
  <si>
    <t xml:space="preserve"> ხარისხის გარე კონტროლის და მონიტორინგის უზრუნველყოფა (მ.შ. სისხლის დონორთა ერთიანი ეროვნული ელექტრონული ბაზის ადმინისტრირება და სრულყოფა)</t>
  </si>
  <si>
    <t xml:space="preserve"> სისხლის უანგარო, რეგულარული დონორობის მხარდაჭერისა და მოზიდვის ეროვნული  კამპანიის  განხორციელების  მიზნით  გასატარებელი ღონისძიებები, მათ შორის  "უანგარო დონორთა მსოფლიო დღესთან" დაკავშირებული ღონისძიებების მხარდაჭერა</t>
  </si>
  <si>
    <t xml:space="preserve"> ტუბერკულოზის პროგრამის რეგიონალური მართვა და მონიტორინგი</t>
  </si>
  <si>
    <t>ლაბორატორიული კონტროლი და ნახველის ლოჯისტიკა</t>
  </si>
  <si>
    <t xml:space="preserve"> 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</t>
  </si>
  <si>
    <t xml:space="preserve"> სს „ტუბერკულოზისა და ფილტვის დაავადებათა ეროვნული ცენტრი“</t>
  </si>
  <si>
    <t>თამბაქოს მოხმარების კონტროლის გაძლიერება</t>
  </si>
  <si>
    <t>ჯანსაღი კვების შესახებ განათლება და ალკოჰოლის ჭარბი მოხმარების შესახებ ცნობიერების ამაღლება</t>
  </si>
  <si>
    <t>ფიზიკური აქტივობის ხელშეწყობა</t>
  </si>
  <si>
    <t>C ჰეპატიტის პრევენცია და მოსახლეობის განათლების ხელშეწყობა</t>
  </si>
  <si>
    <t>ჯანმრთელობის ხელშეწყობის პოპულარიზაცია და გაძლიერება</t>
  </si>
  <si>
    <t>% შესრულება მთავრობის დადგენილებასთან მიმართებაში</t>
  </si>
  <si>
    <t xml:space="preserve">საქართველოს მთავრობის დადგენილებით დამტკიცებული ბიუჯეტი </t>
  </si>
  <si>
    <t>საქართველოს მთავრობის დადგენილებით დამტკიცებული ბიუჯეტი (ცვლილება)</t>
  </si>
  <si>
    <t>2015 წლის დეკემბერი</t>
  </si>
  <si>
    <t>ორსულებში В და С ჰეპატიტების, აივ-ინფექციის/შიდსის და სიფილისის განსაზღვრისათვის საჭირო ტესტებითა და სასარჯი მასალებით უზრუნველყოფა</t>
  </si>
  <si>
    <t>ახალშობილთა სმენის სკრინინგული გამოკვლევა</t>
  </si>
  <si>
    <t>მათ შორის, ფსიქიკური ჯანმრთელობა</t>
  </si>
  <si>
    <t>საქართველოს შავიზღვისპირა საკურარტო ზონაში (აჭარა, გურია და სამეგრელოს რეგიონი) ტნრანსმისიური დაავადებების გადამტანების საწინააღმდეგო პროფილაქტიკური ღონისძიებების გატარება</t>
  </si>
  <si>
    <t>ფსიქიკური ჯანმრთელობა</t>
  </si>
  <si>
    <t>ალკოჰოლის ჭარბი მოხმარების შესახებ ცნობიერების ამაღლება</t>
  </si>
  <si>
    <t xml:space="preserve">ჯანსაღი კვების შესახებ განათლება </t>
  </si>
  <si>
    <t>C ჰეპატიტის მართვა</t>
  </si>
  <si>
    <t>35 03 02 12 02</t>
  </si>
  <si>
    <t xml:space="preserve">გრიპის სეზონური გავრცელების პრევენციის და მზადყოფნის ღონისძიებების დაგეგმვა და განხორციელება: </t>
  </si>
  <si>
    <t xml:space="preserve">გრიპის საწინააღმდეგო ვაქცინის შესყიდვა </t>
  </si>
  <si>
    <t xml:space="preserve">გრიპზე ეპიდზედამხედველობის ქსელის მდგრადობის შენარჩუნება და სეზონურ/პანდემიურ გრიპზე რეაგირება (მ.შ. საყრდენი ბაზების მომსახურება თვეში არაუმეტეს 3000 ლარისა) </t>
  </si>
  <si>
    <t>4 თვე
პროგნოზი</t>
  </si>
  <si>
    <t>მოქმედი ხელშეკრულების ღირებულება</t>
  </si>
  <si>
    <t>მოსალოდნელი ეკონომია მოქმედი ხელშეკრულებიდან</t>
  </si>
  <si>
    <t>ტენდერის ეკონომია 2016 წლის ბიუჯეტზე</t>
  </si>
  <si>
    <t>ტენდერის ეკონომია 2017 წლის ბიუჯეტზე</t>
  </si>
  <si>
    <t>სულ მოსალოდნელი ეკონომია</t>
  </si>
  <si>
    <t>თავისუფალი რესურსი (ეკონომია, რომლის გადატანაც შესაძლებელია ხელშეკრულებაში ცვლილების გარეშე)</t>
  </si>
  <si>
    <t>ჩავარდა და ხელახლაა გამოსაცხადებელი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</si>
</sst>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L_a_r_i_-;\-* #,##0.00\ _L_a_r_i_-;_-* &quot;-&quot;??\ _L_a_r_i_-;_-@_-"/>
    <numFmt numFmtId="164" formatCode="#,##0.0"/>
    <numFmt numFmtId="165" formatCode="0.0%"/>
    <numFmt numFmtId="166" formatCode="#,##0.0000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charset val="204"/>
      <scheme val="minor"/>
    </font>
    <font>
      <b/>
      <sz val="14"/>
      <color theme="3" tint="-0.499984740745262"/>
      <name val="Calibri"/>
      <family val="2"/>
      <charset val="204"/>
      <scheme val="minor"/>
    </font>
    <font>
      <b/>
      <sz val="12"/>
      <color theme="3" tint="-0.499984740745262"/>
      <name val="Calibri"/>
      <family val="2"/>
      <charset val="204"/>
      <scheme val="minor"/>
    </font>
    <font>
      <sz val="11"/>
      <color theme="3" tint="-0.499984740745262"/>
      <name val="Calibri"/>
      <family val="2"/>
      <scheme val="minor"/>
    </font>
    <font>
      <b/>
      <sz val="11"/>
      <color theme="3" tint="-0.499984740745262"/>
      <name val="Sylfaen"/>
      <family val="1"/>
      <charset val="204"/>
    </font>
    <font>
      <b/>
      <sz val="11"/>
      <color theme="3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-0.499984740745262"/>
      <name val="Calibri"/>
      <family val="2"/>
      <charset val="204"/>
      <scheme val="minor"/>
    </font>
    <font>
      <b/>
      <sz val="11"/>
      <color theme="3" tint="-0.499984740745262"/>
      <name val="Sylfaen"/>
      <family val="1"/>
    </font>
    <font>
      <sz val="11"/>
      <color theme="3" tint="-0.499984740745262"/>
      <name val="Sylfaen"/>
      <family val="1"/>
    </font>
    <font>
      <sz val="10"/>
      <name val="Arial"/>
      <family val="2"/>
      <charset val="204"/>
    </font>
    <font>
      <sz val="11"/>
      <name val="Sylfaen"/>
      <family val="1"/>
    </font>
    <font>
      <sz val="10"/>
      <name val="GEO DUMBADZE"/>
      <family val="2"/>
    </font>
    <font>
      <sz val="11"/>
      <name val="Calibri"/>
      <family val="2"/>
      <scheme val="minor"/>
    </font>
    <font>
      <sz val="11"/>
      <color theme="1"/>
      <name val="Sylfaen"/>
      <family val="1"/>
    </font>
    <font>
      <b/>
      <sz val="11"/>
      <color rgb="FFFF0000"/>
      <name val="Sylfaen"/>
      <family val="1"/>
    </font>
    <font>
      <sz val="10"/>
      <color theme="3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Sylfaen"/>
      <family val="1"/>
      <charset val="204"/>
    </font>
    <font>
      <sz val="11"/>
      <color rgb="FFFF0000"/>
      <name val="Sylfaen"/>
      <family val="1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8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Sylfaen"/>
      <family val="2"/>
    </font>
    <font>
      <sz val="11"/>
      <color rgb="FF7030A0"/>
      <name val="Sylfaen"/>
      <family val="2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rgb="FF0070C0"/>
      <name val="Sylfaen"/>
      <family val="1"/>
      <charset val="204"/>
    </font>
    <font>
      <b/>
      <sz val="11"/>
      <color rgb="FF7030A0"/>
      <name val="Sylfaen"/>
      <family val="1"/>
      <charset val="204"/>
    </font>
    <font>
      <b/>
      <sz val="11"/>
      <color theme="3" tint="-0.499984740745262"/>
      <name val="Calibri"/>
      <family val="1"/>
      <charset val="204"/>
      <scheme val="minor"/>
    </font>
    <font>
      <b/>
      <sz val="11"/>
      <color rgb="FF7030A0"/>
      <name val="Calibri"/>
      <family val="1"/>
      <charset val="204"/>
      <scheme val="minor"/>
    </font>
    <font>
      <b/>
      <sz val="14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Sylfaen"/>
      <family val="2"/>
    </font>
    <font>
      <sz val="11"/>
      <color rgb="FF0070C0"/>
      <name val="Sylfaen"/>
      <family val="2"/>
    </font>
    <font>
      <b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Sylfaen"/>
      <family val="2"/>
    </font>
    <font>
      <sz val="11"/>
      <color rgb="FFFF0000"/>
      <name val="Sylfaen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0" tint="-0.25098422193060094"/>
        </stop>
      </gradient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theme="3" tint="-0.24994659260841701"/>
      </bottom>
      <diagonal/>
    </border>
    <border>
      <left style="medium">
        <color indexed="64"/>
      </left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3" tint="-0.2499465926084170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3" tint="-0.24994659260841701"/>
      </right>
      <top/>
      <bottom/>
      <diagonal/>
    </border>
    <border>
      <left style="medium">
        <color theme="3" tint="-0.2499465926084170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3" tint="-0.2499465926084170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3" tint="-0.24994659260841701"/>
      </right>
      <top/>
      <bottom style="thin">
        <color indexed="64"/>
      </bottom>
      <diagonal/>
    </border>
    <border>
      <left style="medium">
        <color theme="3" tint="-0.24994659260841701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3" tint="-0.24994659260841701"/>
      </top>
      <bottom/>
      <diagonal/>
    </border>
  </borders>
  <cellStyleXfs count="11">
    <xf numFmtId="0" fontId="0" fillId="0" borderId="0"/>
    <xf numFmtId="0" fontId="2" fillId="2" borderId="0" applyNumberFormat="0" applyBorder="0" applyAlignment="0" applyProtection="0"/>
    <xf numFmtId="0" fontId="16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22" fillId="0" borderId="0"/>
    <xf numFmtId="43" fontId="1" fillId="0" borderId="0" applyFont="0" applyFill="0" applyBorder="0" applyAlignment="0" applyProtection="0"/>
  </cellStyleXfs>
  <cellXfs count="193">
    <xf numFmtId="0" fontId="0" fillId="0" borderId="0" xfId="0"/>
    <xf numFmtId="0" fontId="4" fillId="3" borderId="0" xfId="0" applyFont="1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9" fillId="3" borderId="0" xfId="0" applyFont="1" applyFill="1" applyAlignment="1">
      <alignment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4" fontId="7" fillId="4" borderId="10" xfId="0" applyNumberFormat="1" applyFont="1" applyFill="1" applyBorder="1" applyAlignment="1">
      <alignment horizontal="center" vertical="center" wrapText="1"/>
    </xf>
    <xf numFmtId="0" fontId="10" fillId="3" borderId="0" xfId="0" applyFont="1" applyFill="1" applyAlignment="1">
      <alignment vertical="center" wrapText="1"/>
    </xf>
    <xf numFmtId="3" fontId="6" fillId="3" borderId="3" xfId="0" applyNumberFormat="1" applyFont="1" applyFill="1" applyBorder="1" applyAlignment="1">
      <alignment horizontal="center" vertical="center" wrapText="1"/>
    </xf>
    <xf numFmtId="4" fontId="13" fillId="3" borderId="4" xfId="0" applyNumberFormat="1" applyFont="1" applyFill="1" applyBorder="1" applyAlignment="1">
      <alignment horizontal="center" vertical="center" wrapText="1"/>
    </xf>
    <xf numFmtId="4" fontId="13" fillId="3" borderId="5" xfId="0" applyNumberFormat="1" applyFont="1" applyFill="1" applyBorder="1" applyAlignment="1">
      <alignment horizontal="center" vertical="center" wrapText="1"/>
    </xf>
    <xf numFmtId="4" fontId="12" fillId="3" borderId="4" xfId="0" applyNumberFormat="1" applyFont="1" applyFill="1" applyBorder="1" applyAlignment="1">
      <alignment horizontal="center" vertical="center" wrapText="1"/>
    </xf>
    <xf numFmtId="3" fontId="6" fillId="3" borderId="4" xfId="0" applyNumberFormat="1" applyFont="1" applyFill="1" applyBorder="1" applyAlignment="1">
      <alignment horizontal="left" vertical="center" wrapText="1"/>
    </xf>
    <xf numFmtId="3" fontId="13" fillId="3" borderId="4" xfId="0" applyNumberFormat="1" applyFont="1" applyFill="1" applyBorder="1" applyAlignment="1">
      <alignment horizontal="center" vertical="center" wrapText="1"/>
    </xf>
    <xf numFmtId="4" fontId="13" fillId="3" borderId="3" xfId="0" applyNumberFormat="1" applyFont="1" applyFill="1" applyBorder="1" applyAlignment="1">
      <alignment horizontal="center" vertical="center" wrapText="1"/>
    </xf>
    <xf numFmtId="3" fontId="13" fillId="3" borderId="3" xfId="0" applyNumberFormat="1" applyFont="1" applyFill="1" applyBorder="1" applyAlignment="1">
      <alignment horizontal="center" vertical="center" wrapText="1"/>
    </xf>
    <xf numFmtId="3" fontId="13" fillId="3" borderId="18" xfId="0" applyNumberFormat="1" applyFont="1" applyFill="1" applyBorder="1" applyAlignment="1">
      <alignment horizontal="center" vertical="center" wrapText="1"/>
    </xf>
    <xf numFmtId="4" fontId="12" fillId="0" borderId="18" xfId="0" applyNumberFormat="1" applyFont="1" applyFill="1" applyBorder="1" applyAlignment="1">
      <alignment horizontal="center" vertical="center" wrapText="1"/>
    </xf>
    <xf numFmtId="4" fontId="12" fillId="3" borderId="18" xfId="0" applyNumberFormat="1" applyFont="1" applyFill="1" applyBorder="1" applyAlignment="1">
      <alignment horizontal="center" vertical="center" wrapText="1"/>
    </xf>
    <xf numFmtId="4" fontId="15" fillId="3" borderId="3" xfId="0" applyNumberFormat="1" applyFont="1" applyFill="1" applyBorder="1" applyAlignment="1">
      <alignment horizontal="center" vertical="center" wrapText="1"/>
    </xf>
    <xf numFmtId="0" fontId="13" fillId="3" borderId="3" xfId="0" applyNumberFormat="1" applyFont="1" applyFill="1" applyBorder="1" applyAlignment="1">
      <alignment horizontal="center" vertical="center" wrapText="1"/>
    </xf>
    <xf numFmtId="3" fontId="6" fillId="3" borderId="13" xfId="0" applyNumberFormat="1" applyFont="1" applyFill="1" applyBorder="1" applyAlignment="1">
      <alignment horizontal="center" vertical="center" wrapText="1"/>
    </xf>
    <xf numFmtId="4" fontId="13" fillId="3" borderId="18" xfId="0" applyNumberFormat="1" applyFont="1" applyFill="1" applyBorder="1" applyAlignment="1">
      <alignment horizontal="center" vertical="center" wrapText="1"/>
    </xf>
    <xf numFmtId="4" fontId="13" fillId="3" borderId="19" xfId="0" applyNumberFormat="1" applyFont="1" applyFill="1" applyBorder="1" applyAlignment="1">
      <alignment horizontal="center" vertical="center" wrapText="1"/>
    </xf>
    <xf numFmtId="164" fontId="6" fillId="3" borderId="4" xfId="0" applyNumberFormat="1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vertical="center" wrapText="1"/>
    </xf>
    <xf numFmtId="4" fontId="13" fillId="3" borderId="17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6" fillId="3" borderId="0" xfId="0" applyFont="1" applyFill="1" applyBorder="1" applyAlignment="1">
      <alignment vertical="center" wrapText="1"/>
    </xf>
    <xf numFmtId="0" fontId="7" fillId="4" borderId="22" xfId="0" applyFont="1" applyFill="1" applyBorder="1" applyAlignment="1">
      <alignment horizontal="center" vertical="center" wrapText="1"/>
    </xf>
    <xf numFmtId="4" fontId="7" fillId="4" borderId="23" xfId="0" applyNumberFormat="1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3" fontId="13" fillId="3" borderId="17" xfId="0" applyNumberFormat="1" applyFont="1" applyFill="1" applyBorder="1" applyAlignment="1">
      <alignment horizontal="center" vertical="center" wrapText="1"/>
    </xf>
    <xf numFmtId="4" fontId="7" fillId="4" borderId="30" xfId="0" applyNumberFormat="1" applyFont="1" applyFill="1" applyBorder="1" applyAlignment="1">
      <alignment horizontal="center" vertical="center" wrapText="1"/>
    </xf>
    <xf numFmtId="3" fontId="17" fillId="3" borderId="4" xfId="0" applyNumberFormat="1" applyFont="1" applyFill="1" applyBorder="1" applyAlignment="1">
      <alignment horizontal="left" vertical="center" wrapText="1"/>
    </xf>
    <xf numFmtId="164" fontId="13" fillId="3" borderId="17" xfId="0" applyNumberFormat="1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4" fontId="3" fillId="0" borderId="0" xfId="1" applyNumberFormat="1" applyFont="1" applyFill="1" applyAlignment="1">
      <alignment horizontal="center" vertical="center" wrapText="1"/>
    </xf>
    <xf numFmtId="9" fontId="7" fillId="4" borderId="32" xfId="7" applyFont="1" applyFill="1" applyBorder="1" applyAlignment="1">
      <alignment horizontal="center" vertical="center" wrapText="1"/>
    </xf>
    <xf numFmtId="9" fontId="12" fillId="3" borderId="4" xfId="7" applyFont="1" applyFill="1" applyBorder="1" applyAlignment="1">
      <alignment horizontal="center" vertical="center" wrapText="1"/>
    </xf>
    <xf numFmtId="9" fontId="13" fillId="3" borderId="4" xfId="7" applyFont="1" applyFill="1" applyBorder="1" applyAlignment="1">
      <alignment horizontal="center" vertical="center" wrapText="1"/>
    </xf>
    <xf numFmtId="0" fontId="7" fillId="4" borderId="37" xfId="0" applyFont="1" applyFill="1" applyBorder="1" applyAlignment="1">
      <alignment horizontal="center" vertical="center" wrapText="1"/>
    </xf>
    <xf numFmtId="4" fontId="4" fillId="3" borderId="0" xfId="0" applyNumberFormat="1" applyFont="1" applyFill="1" applyAlignment="1">
      <alignment vertical="center" wrapText="1"/>
    </xf>
    <xf numFmtId="4" fontId="13" fillId="3" borderId="28" xfId="0" applyNumberFormat="1" applyFont="1" applyFill="1" applyBorder="1" applyAlignment="1">
      <alignment horizontal="center" vertical="center" wrapText="1"/>
    </xf>
    <xf numFmtId="4" fontId="13" fillId="3" borderId="8" xfId="0" applyNumberFormat="1" applyFont="1" applyFill="1" applyBorder="1" applyAlignment="1">
      <alignment horizontal="center" vertical="center" wrapText="1"/>
    </xf>
    <xf numFmtId="4" fontId="15" fillId="3" borderId="4" xfId="0" applyNumberFormat="1" applyFont="1" applyFill="1" applyBorder="1" applyAlignment="1">
      <alignment horizontal="center" vertical="center" wrapText="1"/>
    </xf>
    <xf numFmtId="4" fontId="15" fillId="3" borderId="4" xfId="0" applyNumberFormat="1" applyFont="1" applyFill="1" applyBorder="1" applyAlignment="1">
      <alignment horizontal="center" vertical="center" wrapText="1"/>
    </xf>
    <xf numFmtId="4" fontId="15" fillId="3" borderId="3" xfId="0" applyNumberFormat="1" applyFont="1" applyFill="1" applyBorder="1" applyAlignment="1">
      <alignment horizontal="center" vertical="center" wrapText="1"/>
    </xf>
    <xf numFmtId="4" fontId="15" fillId="3" borderId="3" xfId="0" applyNumberFormat="1" applyFont="1" applyFill="1" applyBorder="1" applyAlignment="1">
      <alignment horizontal="center" vertical="center" wrapText="1"/>
    </xf>
    <xf numFmtId="4" fontId="13" fillId="3" borderId="14" xfId="0" applyNumberFormat="1" applyFont="1" applyFill="1" applyBorder="1" applyAlignment="1">
      <alignment horizontal="center" vertical="center" wrapText="1"/>
    </xf>
    <xf numFmtId="4" fontId="18" fillId="3" borderId="4" xfId="0" applyNumberFormat="1" applyFont="1" applyFill="1" applyBorder="1" applyAlignment="1">
      <alignment horizontal="center" vertical="center" wrapText="1"/>
    </xf>
    <xf numFmtId="0" fontId="0" fillId="0" borderId="4" xfId="0" applyBorder="1"/>
    <xf numFmtId="49" fontId="11" fillId="3" borderId="4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left" vertical="center" wrapText="1"/>
    </xf>
    <xf numFmtId="0" fontId="20" fillId="3" borderId="4" xfId="0" applyFont="1" applyFill="1" applyBorder="1" applyAlignment="1">
      <alignment vertical="center" wrapText="1"/>
    </xf>
    <xf numFmtId="0" fontId="20" fillId="3" borderId="4" xfId="0" applyFont="1" applyFill="1" applyBorder="1" applyAlignment="1">
      <alignment horizontal="left" vertical="center" wrapText="1"/>
    </xf>
    <xf numFmtId="0" fontId="21" fillId="3" borderId="4" xfId="0" applyFont="1" applyFill="1" applyBorder="1" applyAlignment="1">
      <alignment vertical="center" wrapText="1"/>
    </xf>
    <xf numFmtId="166" fontId="13" fillId="3" borderId="17" xfId="0" applyNumberFormat="1" applyFont="1" applyFill="1" applyBorder="1" applyAlignment="1">
      <alignment horizontal="center" vertical="center" wrapText="1"/>
    </xf>
    <xf numFmtId="165" fontId="13" fillId="3" borderId="14" xfId="7" applyNumberFormat="1" applyFont="1" applyFill="1" applyBorder="1" applyAlignment="1">
      <alignment horizontal="center" vertical="center" wrapText="1"/>
    </xf>
    <xf numFmtId="3" fontId="6" fillId="3" borderId="0" xfId="0" applyNumberFormat="1" applyFont="1" applyFill="1" applyBorder="1" applyAlignment="1">
      <alignment horizontal="left" vertical="center" wrapText="1"/>
    </xf>
    <xf numFmtId="4" fontId="13" fillId="3" borderId="0" xfId="0" applyNumberFormat="1" applyFont="1" applyFill="1" applyBorder="1" applyAlignment="1">
      <alignment horizontal="center" vertical="center" wrapText="1"/>
    </xf>
    <xf numFmtId="9" fontId="13" fillId="3" borderId="0" xfId="7" applyFont="1" applyFill="1" applyBorder="1" applyAlignment="1">
      <alignment horizontal="center" vertical="center" wrapText="1"/>
    </xf>
    <xf numFmtId="0" fontId="0" fillId="3" borderId="4" xfId="0" applyFill="1" applyBorder="1" applyAlignment="1">
      <alignment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49" fontId="11" fillId="5" borderId="13" xfId="0" applyNumberFormat="1" applyFont="1" applyFill="1" applyBorder="1" applyAlignment="1">
      <alignment horizontal="center" vertical="center" wrapText="1"/>
    </xf>
    <xf numFmtId="3" fontId="11" fillId="5" borderId="14" xfId="0" applyNumberFormat="1" applyFont="1" applyFill="1" applyBorder="1" applyAlignment="1">
      <alignment horizontal="center" vertical="center" wrapText="1"/>
    </xf>
    <xf numFmtId="4" fontId="12" fillId="5" borderId="14" xfId="0" applyNumberFormat="1" applyFont="1" applyFill="1" applyBorder="1" applyAlignment="1">
      <alignment horizontal="center" vertical="center" wrapText="1"/>
    </xf>
    <xf numFmtId="4" fontId="12" fillId="5" borderId="28" xfId="0" applyNumberFormat="1" applyFont="1" applyFill="1" applyBorder="1" applyAlignment="1">
      <alignment horizontal="center" vertical="center" wrapText="1"/>
    </xf>
    <xf numFmtId="9" fontId="12" fillId="5" borderId="14" xfId="7" applyFont="1" applyFill="1" applyBorder="1" applyAlignment="1">
      <alignment horizontal="center" vertical="center" wrapText="1"/>
    </xf>
    <xf numFmtId="4" fontId="19" fillId="5" borderId="28" xfId="0" applyNumberFormat="1" applyFont="1" applyFill="1" applyBorder="1" applyAlignment="1">
      <alignment horizontal="center" vertical="center" wrapText="1"/>
    </xf>
    <xf numFmtId="0" fontId="29" fillId="3" borderId="0" xfId="0" applyFont="1" applyFill="1" applyAlignment="1">
      <alignment vertical="center" wrapText="1"/>
    </xf>
    <xf numFmtId="0" fontId="30" fillId="3" borderId="0" xfId="0" applyFont="1" applyFill="1" applyAlignment="1">
      <alignment horizontal="center" vertical="center" wrapText="1"/>
    </xf>
    <xf numFmtId="0" fontId="31" fillId="3" borderId="0" xfId="0" applyFont="1" applyFill="1" applyBorder="1" applyAlignment="1">
      <alignment vertical="center" wrapText="1"/>
    </xf>
    <xf numFmtId="0" fontId="31" fillId="3" borderId="1" xfId="0" applyFont="1" applyFill="1" applyBorder="1" applyAlignment="1">
      <alignment horizontal="right" vertical="center" wrapText="1"/>
    </xf>
    <xf numFmtId="4" fontId="32" fillId="4" borderId="30" xfId="0" applyNumberFormat="1" applyFont="1" applyFill="1" applyBorder="1" applyAlignment="1">
      <alignment horizontal="center" vertical="center" wrapText="1"/>
    </xf>
    <xf numFmtId="4" fontId="32" fillId="5" borderId="28" xfId="0" applyNumberFormat="1" applyFont="1" applyFill="1" applyBorder="1" applyAlignment="1">
      <alignment horizontal="center" vertical="center" wrapText="1"/>
    </xf>
    <xf numFmtId="43" fontId="33" fillId="3" borderId="18" xfId="10" applyFont="1" applyFill="1" applyBorder="1" applyAlignment="1">
      <alignment horizontal="center" vertical="center" wrapText="1"/>
    </xf>
    <xf numFmtId="43" fontId="31" fillId="3" borderId="5" xfId="10" applyFont="1" applyFill="1" applyBorder="1" applyAlignment="1">
      <alignment horizontal="center" vertical="center" wrapText="1"/>
    </xf>
    <xf numFmtId="4" fontId="33" fillId="3" borderId="18" xfId="0" applyNumberFormat="1" applyFont="1" applyFill="1" applyBorder="1" applyAlignment="1">
      <alignment horizontal="center" vertical="center" wrapText="1"/>
    </xf>
    <xf numFmtId="3" fontId="31" fillId="3" borderId="5" xfId="0" applyNumberFormat="1" applyFont="1" applyFill="1" applyBorder="1" applyAlignment="1">
      <alignment horizontal="center" vertical="center" wrapText="1"/>
    </xf>
    <xf numFmtId="4" fontId="33" fillId="3" borderId="28" xfId="0" applyNumberFormat="1" applyFont="1" applyFill="1" applyBorder="1" applyAlignment="1">
      <alignment horizontal="center" vertical="center" wrapText="1"/>
    </xf>
    <xf numFmtId="3" fontId="31" fillId="3" borderId="15" xfId="0" applyNumberFormat="1" applyFont="1" applyFill="1" applyBorder="1" applyAlignment="1">
      <alignment horizontal="center" vertical="center" wrapText="1"/>
    </xf>
    <xf numFmtId="3" fontId="31" fillId="3" borderId="4" xfId="0" applyNumberFormat="1" applyFont="1" applyFill="1" applyBorder="1" applyAlignment="1">
      <alignment horizontal="center" vertical="center" wrapText="1"/>
    </xf>
    <xf numFmtId="4" fontId="32" fillId="3" borderId="4" xfId="0" applyNumberFormat="1" applyFont="1" applyFill="1" applyBorder="1" applyAlignment="1">
      <alignment horizontal="center" vertical="center" wrapText="1"/>
    </xf>
    <xf numFmtId="4" fontId="33" fillId="3" borderId="0" xfId="0" applyNumberFormat="1" applyFont="1" applyFill="1" applyBorder="1" applyAlignment="1">
      <alignment horizontal="center" vertical="center" wrapText="1"/>
    </xf>
    <xf numFmtId="3" fontId="31" fillId="3" borderId="0" xfId="0" applyNumberFormat="1" applyFont="1" applyFill="1" applyBorder="1" applyAlignment="1">
      <alignment horizontal="center" vertical="center" wrapText="1"/>
    </xf>
    <xf numFmtId="0" fontId="31" fillId="3" borderId="0" xfId="0" applyFont="1" applyFill="1" applyAlignment="1">
      <alignment vertical="center" wrapText="1"/>
    </xf>
    <xf numFmtId="4" fontId="25" fillId="3" borderId="3" xfId="0" applyNumberFormat="1" applyFont="1" applyFill="1" applyBorder="1" applyAlignment="1">
      <alignment horizontal="center" vertical="center" wrapText="1"/>
    </xf>
    <xf numFmtId="4" fontId="24" fillId="5" borderId="3" xfId="0" applyNumberFormat="1" applyFont="1" applyFill="1" applyBorder="1" applyAlignment="1">
      <alignment horizontal="center" vertical="center" wrapText="1"/>
    </xf>
    <xf numFmtId="4" fontId="25" fillId="3" borderId="17" xfId="0" applyNumberFormat="1" applyFont="1" applyFill="1" applyBorder="1" applyAlignment="1">
      <alignment horizontal="center" vertical="center" wrapText="1"/>
    </xf>
    <xf numFmtId="3" fontId="11" fillId="5" borderId="4" xfId="0" applyNumberFormat="1" applyFont="1" applyFill="1" applyBorder="1" applyAlignment="1">
      <alignment horizontal="center" vertical="center" wrapText="1"/>
    </xf>
    <xf numFmtId="4" fontId="19" fillId="5" borderId="5" xfId="0" applyNumberFormat="1" applyFont="1" applyFill="1" applyBorder="1" applyAlignment="1">
      <alignment horizontal="center" vertical="center" wrapText="1"/>
    </xf>
    <xf numFmtId="4" fontId="12" fillId="5" borderId="5" xfId="0" applyNumberFormat="1" applyFont="1" applyFill="1" applyBorder="1" applyAlignment="1">
      <alignment horizontal="center" vertical="center" wrapText="1"/>
    </xf>
    <xf numFmtId="4" fontId="12" fillId="5" borderId="18" xfId="0" applyNumberFormat="1" applyFont="1" applyFill="1" applyBorder="1" applyAlignment="1">
      <alignment horizontal="center" vertical="center" wrapText="1"/>
    </xf>
    <xf numFmtId="165" fontId="12" fillId="5" borderId="14" xfId="7" applyNumberFormat="1" applyFont="1" applyFill="1" applyBorder="1" applyAlignment="1">
      <alignment horizontal="center" vertical="center" wrapText="1"/>
    </xf>
    <xf numFmtId="4" fontId="12" fillId="5" borderId="4" xfId="0" applyNumberFormat="1" applyFont="1" applyFill="1" applyBorder="1" applyAlignment="1">
      <alignment horizontal="center" vertical="center" wrapText="1"/>
    </xf>
    <xf numFmtId="4" fontId="13" fillId="5" borderId="18" xfId="0" applyNumberFormat="1" applyFont="1" applyFill="1" applyBorder="1" applyAlignment="1">
      <alignment horizontal="center" vertical="center" wrapText="1"/>
    </xf>
    <xf numFmtId="4" fontId="24" fillId="5" borderId="18" xfId="0" applyNumberFormat="1" applyFont="1" applyFill="1" applyBorder="1" applyAlignment="1">
      <alignment horizontal="center" vertical="center" wrapText="1"/>
    </xf>
    <xf numFmtId="4" fontId="33" fillId="5" borderId="18" xfId="0" applyNumberFormat="1" applyFont="1" applyFill="1" applyBorder="1" applyAlignment="1">
      <alignment horizontal="center" vertical="center" wrapText="1"/>
    </xf>
    <xf numFmtId="3" fontId="28" fillId="5" borderId="5" xfId="0" applyNumberFormat="1" applyFont="1" applyFill="1" applyBorder="1" applyAlignment="1">
      <alignment horizontal="center" vertical="center" wrapText="1"/>
    </xf>
    <xf numFmtId="4" fontId="36" fillId="5" borderId="18" xfId="0" applyNumberFormat="1" applyFont="1" applyFill="1" applyBorder="1" applyAlignment="1">
      <alignment horizontal="center" vertical="center" wrapText="1"/>
    </xf>
    <xf numFmtId="4" fontId="37" fillId="5" borderId="18" xfId="0" applyNumberFormat="1" applyFont="1" applyFill="1" applyBorder="1" applyAlignment="1">
      <alignment horizontal="center" vertical="center" wrapText="1"/>
    </xf>
    <xf numFmtId="3" fontId="8" fillId="5" borderId="4" xfId="0" applyNumberFormat="1" applyFont="1" applyFill="1" applyBorder="1" applyAlignment="1">
      <alignment horizontal="center" vertical="center" wrapText="1"/>
    </xf>
    <xf numFmtId="3" fontId="31" fillId="5" borderId="5" xfId="0" applyNumberFormat="1" applyFont="1" applyFill="1" applyBorder="1" applyAlignment="1">
      <alignment horizontal="center" vertical="center" wrapText="1"/>
    </xf>
    <xf numFmtId="4" fontId="13" fillId="5" borderId="28" xfId="0" applyNumberFormat="1" applyFont="1" applyFill="1" applyBorder="1" applyAlignment="1">
      <alignment horizontal="center" vertical="center" wrapText="1"/>
    </xf>
    <xf numFmtId="4" fontId="33" fillId="5" borderId="28" xfId="0" applyNumberFormat="1" applyFont="1" applyFill="1" applyBorder="1" applyAlignment="1">
      <alignment horizontal="center" vertical="center" wrapText="1"/>
    </xf>
    <xf numFmtId="3" fontId="28" fillId="5" borderId="15" xfId="0" applyNumberFormat="1" applyFont="1" applyFill="1" applyBorder="1" applyAlignment="1">
      <alignment horizontal="center" vertical="center" wrapText="1"/>
    </xf>
    <xf numFmtId="4" fontId="12" fillId="5" borderId="17" xfId="0" applyNumberFormat="1" applyFont="1" applyFill="1" applyBorder="1" applyAlignment="1">
      <alignment horizontal="center" vertical="center" wrapText="1"/>
    </xf>
    <xf numFmtId="4" fontId="12" fillId="5" borderId="3" xfId="0" applyNumberFormat="1" applyFont="1" applyFill="1" applyBorder="1" applyAlignment="1">
      <alignment horizontal="center" vertical="center" wrapText="1"/>
    </xf>
    <xf numFmtId="4" fontId="7" fillId="5" borderId="18" xfId="0" applyNumberFormat="1" applyFont="1" applyFill="1" applyBorder="1" applyAlignment="1">
      <alignment horizontal="center" vertical="center" wrapText="1"/>
    </xf>
    <xf numFmtId="3" fontId="31" fillId="5" borderId="4" xfId="0" applyNumberFormat="1" applyFont="1" applyFill="1" applyBorder="1" applyAlignment="1">
      <alignment horizontal="center" vertical="center" wrapText="1"/>
    </xf>
    <xf numFmtId="49" fontId="38" fillId="5" borderId="13" xfId="0" applyNumberFormat="1" applyFont="1" applyFill="1" applyBorder="1" applyAlignment="1">
      <alignment horizontal="center" vertical="center" wrapText="1"/>
    </xf>
    <xf numFmtId="3" fontId="38" fillId="5" borderId="4" xfId="0" applyNumberFormat="1" applyFont="1" applyFill="1" applyBorder="1" applyAlignment="1">
      <alignment horizontal="center" vertical="center" wrapText="1"/>
    </xf>
    <xf numFmtId="4" fontId="7" fillId="5" borderId="5" xfId="0" applyNumberFormat="1" applyFont="1" applyFill="1" applyBorder="1" applyAlignment="1">
      <alignment horizontal="center" vertical="center" wrapText="1"/>
    </xf>
    <xf numFmtId="4" fontId="7" fillId="5" borderId="14" xfId="0" applyNumberFormat="1" applyFont="1" applyFill="1" applyBorder="1" applyAlignment="1">
      <alignment horizontal="center" vertical="center" wrapText="1"/>
    </xf>
    <xf numFmtId="165" fontId="7" fillId="5" borderId="14" xfId="7" applyNumberFormat="1" applyFont="1" applyFill="1" applyBorder="1" applyAlignment="1">
      <alignment horizontal="center" vertical="center" wrapText="1"/>
    </xf>
    <xf numFmtId="4" fontId="7" fillId="5" borderId="4" xfId="0" applyNumberFormat="1" applyFont="1" applyFill="1" applyBorder="1" applyAlignment="1">
      <alignment horizontal="center" vertical="center" wrapText="1"/>
    </xf>
    <xf numFmtId="3" fontId="39" fillId="5" borderId="5" xfId="0" applyNumberFormat="1" applyFont="1" applyFill="1" applyBorder="1" applyAlignment="1">
      <alignment horizontal="center" vertical="center" wrapText="1"/>
    </xf>
    <xf numFmtId="0" fontId="40" fillId="3" borderId="0" xfId="0" applyFont="1" applyFill="1" applyAlignment="1">
      <alignment vertical="center" wrapText="1"/>
    </xf>
    <xf numFmtId="0" fontId="41" fillId="3" borderId="0" xfId="0" applyFont="1" applyFill="1" applyBorder="1" applyAlignment="1">
      <alignment vertical="center" wrapText="1"/>
    </xf>
    <xf numFmtId="4" fontId="42" fillId="4" borderId="30" xfId="0" applyNumberFormat="1" applyFont="1" applyFill="1" applyBorder="1" applyAlignment="1">
      <alignment horizontal="center" vertical="center" wrapText="1"/>
    </xf>
    <xf numFmtId="4" fontId="42" fillId="5" borderId="28" xfId="0" applyNumberFormat="1" applyFont="1" applyFill="1" applyBorder="1" applyAlignment="1">
      <alignment horizontal="center" vertical="center" wrapText="1"/>
    </xf>
    <xf numFmtId="4" fontId="43" fillId="3" borderId="18" xfId="0" applyNumberFormat="1" applyFont="1" applyFill="1" applyBorder="1" applyAlignment="1">
      <alignment horizontal="center" vertical="center" wrapText="1"/>
    </xf>
    <xf numFmtId="4" fontId="42" fillId="5" borderId="18" xfId="0" applyNumberFormat="1" applyFont="1" applyFill="1" applyBorder="1" applyAlignment="1">
      <alignment horizontal="center" vertical="center" wrapText="1"/>
    </xf>
    <xf numFmtId="4" fontId="42" fillId="3" borderId="18" xfId="0" applyNumberFormat="1" applyFont="1" applyFill="1" applyBorder="1" applyAlignment="1">
      <alignment horizontal="center" vertical="center" wrapText="1"/>
    </xf>
    <xf numFmtId="4" fontId="43" fillId="3" borderId="0" xfId="0" applyNumberFormat="1" applyFont="1" applyFill="1" applyBorder="1" applyAlignment="1">
      <alignment horizontal="center" vertical="center" wrapText="1"/>
    </xf>
    <xf numFmtId="0" fontId="41" fillId="3" borderId="0" xfId="0" applyFont="1" applyFill="1" applyAlignment="1">
      <alignment vertical="center" wrapText="1"/>
    </xf>
    <xf numFmtId="4" fontId="32" fillId="5" borderId="18" xfId="0" applyNumberFormat="1" applyFont="1" applyFill="1" applyBorder="1" applyAlignment="1">
      <alignment horizontal="center" vertical="center" wrapText="1"/>
    </xf>
    <xf numFmtId="9" fontId="7" fillId="5" borderId="14" xfId="7" applyFont="1" applyFill="1" applyBorder="1" applyAlignment="1">
      <alignment horizontal="center" vertical="center" wrapText="1"/>
    </xf>
    <xf numFmtId="0" fontId="44" fillId="3" borderId="0" xfId="0" applyFont="1" applyFill="1" applyAlignment="1">
      <alignment vertical="center" wrapText="1"/>
    </xf>
    <xf numFmtId="0" fontId="45" fillId="3" borderId="0" xfId="0" applyFont="1" applyFill="1" applyBorder="1" applyAlignment="1">
      <alignment vertical="center" wrapText="1"/>
    </xf>
    <xf numFmtId="0" fontId="46" fillId="4" borderId="16" xfId="0" applyFont="1" applyFill="1" applyBorder="1" applyAlignment="1">
      <alignment horizontal="center" vertical="center" wrapText="1"/>
    </xf>
    <xf numFmtId="0" fontId="46" fillId="4" borderId="7" xfId="0" applyFont="1" applyFill="1" applyBorder="1" applyAlignment="1">
      <alignment horizontal="center" vertical="center" wrapText="1"/>
    </xf>
    <xf numFmtId="4" fontId="46" fillId="4" borderId="30" xfId="0" applyNumberFormat="1" applyFont="1" applyFill="1" applyBorder="1" applyAlignment="1">
      <alignment horizontal="center" vertical="center" wrapText="1"/>
    </xf>
    <xf numFmtId="4" fontId="46" fillId="5" borderId="14" xfId="0" applyNumberFormat="1" applyFont="1" applyFill="1" applyBorder="1" applyAlignment="1">
      <alignment horizontal="center" vertical="center" wrapText="1"/>
    </xf>
    <xf numFmtId="4" fontId="47" fillId="3" borderId="4" xfId="0" applyNumberFormat="1" applyFont="1" applyFill="1" applyBorder="1" applyAlignment="1">
      <alignment horizontal="center" vertical="center" wrapText="1"/>
    </xf>
    <xf numFmtId="4" fontId="46" fillId="5" borderId="4" xfId="0" applyNumberFormat="1" applyFont="1" applyFill="1" applyBorder="1" applyAlignment="1">
      <alignment horizontal="center" vertical="center" wrapText="1"/>
    </xf>
    <xf numFmtId="3" fontId="47" fillId="3" borderId="3" xfId="0" applyNumberFormat="1" applyFont="1" applyFill="1" applyBorder="1" applyAlignment="1">
      <alignment horizontal="center" vertical="center" wrapText="1"/>
    </xf>
    <xf numFmtId="4" fontId="47" fillId="3" borderId="3" xfId="0" applyNumberFormat="1" applyFont="1" applyFill="1" applyBorder="1" applyAlignment="1">
      <alignment horizontal="center" vertical="center" wrapText="1"/>
    </xf>
    <xf numFmtId="4" fontId="47" fillId="3" borderId="17" xfId="0" applyNumberFormat="1" applyFont="1" applyFill="1" applyBorder="1" applyAlignment="1">
      <alignment horizontal="center" vertical="center" wrapText="1"/>
    </xf>
    <xf numFmtId="4" fontId="47" fillId="3" borderId="5" xfId="0" applyNumberFormat="1" applyFont="1" applyFill="1" applyBorder="1" applyAlignment="1">
      <alignment horizontal="center" vertical="center" wrapText="1"/>
    </xf>
    <xf numFmtId="4" fontId="46" fillId="5" borderId="3" xfId="0" applyNumberFormat="1" applyFont="1" applyFill="1" applyBorder="1" applyAlignment="1">
      <alignment horizontal="center" vertical="center" wrapText="1"/>
    </xf>
    <xf numFmtId="4" fontId="47" fillId="3" borderId="0" xfId="0" applyNumberFormat="1" applyFont="1" applyFill="1" applyBorder="1" applyAlignment="1">
      <alignment horizontal="center" vertical="center" wrapText="1"/>
    </xf>
    <xf numFmtId="0" fontId="45" fillId="3" borderId="0" xfId="0" applyFont="1" applyFill="1" applyAlignment="1">
      <alignment vertical="center" wrapText="1"/>
    </xf>
    <xf numFmtId="4" fontId="46" fillId="5" borderId="28" xfId="0" applyNumberFormat="1" applyFont="1" applyFill="1" applyBorder="1" applyAlignment="1">
      <alignment horizontal="center" vertical="center" wrapText="1"/>
    </xf>
    <xf numFmtId="4" fontId="47" fillId="3" borderId="18" xfId="0" applyNumberFormat="1" applyFont="1" applyFill="1" applyBorder="1" applyAlignment="1">
      <alignment horizontal="center" vertical="center" wrapText="1"/>
    </xf>
    <xf numFmtId="4" fontId="46" fillId="5" borderId="18" xfId="0" applyNumberFormat="1" applyFont="1" applyFill="1" applyBorder="1" applyAlignment="1">
      <alignment horizontal="center" vertical="center" wrapText="1"/>
    </xf>
    <xf numFmtId="4" fontId="47" fillId="5" borderId="18" xfId="0" applyNumberFormat="1" applyFont="1" applyFill="1" applyBorder="1" applyAlignment="1">
      <alignment horizontal="center" vertical="center" wrapText="1"/>
    </xf>
    <xf numFmtId="4" fontId="46" fillId="3" borderId="18" xfId="0" applyNumberFormat="1" applyFont="1" applyFill="1" applyBorder="1" applyAlignment="1">
      <alignment horizontal="center" vertical="center" wrapText="1"/>
    </xf>
    <xf numFmtId="9" fontId="12" fillId="5" borderId="4" xfId="7" applyFont="1" applyFill="1" applyBorder="1" applyAlignment="1">
      <alignment horizontal="center" vertical="center" wrapText="1"/>
    </xf>
    <xf numFmtId="4" fontId="32" fillId="5" borderId="4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left" vertical="center" wrapText="1"/>
    </xf>
    <xf numFmtId="4" fontId="43" fillId="3" borderId="4" xfId="0" applyNumberFormat="1" applyFont="1" applyFill="1" applyBorder="1" applyAlignment="1">
      <alignment horizontal="center" vertical="center" wrapText="1"/>
    </xf>
    <xf numFmtId="4" fontId="33" fillId="3" borderId="4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23" fillId="3" borderId="4" xfId="0" applyFont="1" applyFill="1" applyBorder="1" applyAlignment="1">
      <alignment vertical="center" wrapText="1"/>
    </xf>
    <xf numFmtId="4" fontId="0" fillId="3" borderId="0" xfId="0" applyNumberFormat="1" applyFill="1" applyAlignment="1">
      <alignment vertical="center" wrapText="1"/>
    </xf>
    <xf numFmtId="0" fontId="26" fillId="4" borderId="2" xfId="0" applyFont="1" applyFill="1" applyBorder="1" applyAlignment="1">
      <alignment horizontal="center" vertical="center" wrapText="1"/>
    </xf>
    <xf numFmtId="0" fontId="26" fillId="4" borderId="6" xfId="0" applyFont="1" applyFill="1" applyBorder="1" applyAlignment="1">
      <alignment horizontal="center" vertical="center" wrapText="1"/>
    </xf>
    <xf numFmtId="0" fontId="27" fillId="4" borderId="45" xfId="0" applyFont="1" applyFill="1" applyBorder="1" applyAlignment="1">
      <alignment horizontal="center" vertical="center" wrapText="1"/>
    </xf>
    <xf numFmtId="0" fontId="27" fillId="4" borderId="29" xfId="0" applyFont="1" applyFill="1" applyBorder="1" applyAlignment="1">
      <alignment horizontal="center" vertical="center" wrapText="1"/>
    </xf>
    <xf numFmtId="0" fontId="27" fillId="4" borderId="34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 wrapText="1"/>
    </xf>
    <xf numFmtId="0" fontId="28" fillId="4" borderId="6" xfId="0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7" fillId="4" borderId="38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7" fillId="4" borderId="44" xfId="0" applyFont="1" applyFill="1" applyBorder="1" applyAlignment="1">
      <alignment horizontal="center" vertical="center" wrapText="1"/>
    </xf>
    <xf numFmtId="0" fontId="7" fillId="4" borderId="42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36" xfId="0" applyFont="1" applyFill="1" applyBorder="1" applyAlignment="1">
      <alignment horizontal="center" vertical="center" wrapText="1"/>
    </xf>
    <xf numFmtId="0" fontId="7" fillId="4" borderId="39" xfId="0" applyFont="1" applyFill="1" applyBorder="1" applyAlignment="1">
      <alignment horizontal="center" vertical="center" wrapText="1"/>
    </xf>
    <xf numFmtId="0" fontId="7" fillId="4" borderId="40" xfId="0" applyFont="1" applyFill="1" applyBorder="1" applyAlignment="1">
      <alignment horizontal="center" vertical="center" wrapText="1"/>
    </xf>
    <xf numFmtId="0" fontId="7" fillId="4" borderId="41" xfId="0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8" fillId="4" borderId="45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8" fillId="4" borderId="34" xfId="0" applyFont="1" applyFill="1" applyBorder="1" applyAlignment="1">
      <alignment horizontal="center" vertical="center" wrapText="1"/>
    </xf>
  </cellXfs>
  <cellStyles count="11">
    <cellStyle name="Comma" xfId="10" builtinId="3"/>
    <cellStyle name="Good" xfId="1" builtinId="26"/>
    <cellStyle name="Normal" xfId="0" builtinId="0"/>
    <cellStyle name="Normal 2" xfId="3"/>
    <cellStyle name="Normal 2 2" xfId="2"/>
    <cellStyle name="Normal 3" xfId="4"/>
    <cellStyle name="Normal 4" xfId="5"/>
    <cellStyle name="Normal 4 2" xfId="6"/>
    <cellStyle name="Normal 4 2 2" xfId="8"/>
    <cellStyle name="Normal 5" xfId="9"/>
    <cellStyle name="Percent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hvicha%20Getia/AppData/Local/Microsoft/Windows/Temporary%20Internet%20Files/Content.IE5/127BP9NY/reall2016_apri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elsh_2016"/>
      <sheetName val="Re_all2016"/>
    </sheetNames>
    <sheetDataSet>
      <sheetData sheetId="0"/>
      <sheetData sheetId="1">
        <row r="488">
          <cell r="H488">
            <v>6915412.5599999996</v>
          </cell>
        </row>
        <row r="490">
          <cell r="H490">
            <v>177713.44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2:AE66"/>
  <sheetViews>
    <sheetView tabSelected="1" view="pageBreakPreview" zoomScale="70" zoomScaleNormal="70" zoomScaleSheetLayoutView="70" workbookViewId="0">
      <pane xSplit="3" ySplit="7" topLeftCell="E34" activePane="bottomRight" state="frozen"/>
      <selection pane="topRight" activeCell="D1" sqref="D1"/>
      <selection pane="bottomLeft" activeCell="A8" sqref="A8"/>
      <selection pane="bottomRight" activeCell="I21" sqref="I21"/>
    </sheetView>
  </sheetViews>
  <sheetFormatPr defaultColWidth="9.140625" defaultRowHeight="15" x14ac:dyDescent="0.25"/>
  <cols>
    <col min="1" max="1" width="3.140625" style="2" customWidth="1"/>
    <col min="2" max="2" width="15.140625" style="27" customWidth="1"/>
    <col min="3" max="3" width="51.5703125" style="27" customWidth="1"/>
    <col min="4" max="4" width="12" style="27" customWidth="1"/>
    <col min="5" max="5" width="9.7109375" style="27" customWidth="1"/>
    <col min="6" max="6" width="18.5703125" style="27" customWidth="1"/>
    <col min="7" max="7" width="11.7109375" style="27" customWidth="1"/>
    <col min="8" max="8" width="18.28515625" style="27" customWidth="1"/>
    <col min="9" max="9" width="20.28515625" style="27" customWidth="1"/>
    <col min="10" max="10" width="13.28515625" style="27" customWidth="1"/>
    <col min="11" max="15" width="14.7109375" style="27" customWidth="1"/>
    <col min="16" max="16" width="18.140625" style="27" customWidth="1"/>
    <col min="17" max="17" width="17.28515625" style="27" customWidth="1"/>
    <col min="18" max="20" width="14.7109375" style="27" customWidth="1"/>
    <col min="21" max="21" width="14.28515625" style="27" customWidth="1"/>
    <col min="22" max="22" width="14.7109375" style="145" customWidth="1"/>
    <col min="23" max="23" width="14.7109375" style="27" customWidth="1"/>
    <col min="24" max="24" width="14.7109375" style="145" customWidth="1"/>
    <col min="25" max="26" width="14.7109375" style="27" customWidth="1"/>
    <col min="27" max="27" width="21" style="128" customWidth="1"/>
    <col min="28" max="28" width="14.7109375" style="88" customWidth="1"/>
    <col min="29" max="29" width="18.140625" style="88" customWidth="1"/>
    <col min="30" max="30" width="9.140625" style="2"/>
    <col min="31" max="31" width="13.28515625" style="2" bestFit="1" customWidth="1"/>
    <col min="32" max="16384" width="9.140625" style="2"/>
  </cols>
  <sheetData>
    <row r="2" spans="2:31" ht="24.75" customHeight="1" x14ac:dyDescent="0.25">
      <c r="B2" s="166"/>
      <c r="C2" s="166"/>
      <c r="D2" s="166"/>
      <c r="E2" s="166"/>
      <c r="F2" s="166"/>
      <c r="G2" s="166"/>
      <c r="H2" s="166"/>
      <c r="I2" s="166"/>
      <c r="J2" s="39"/>
      <c r="K2" s="39"/>
      <c r="L2" s="1"/>
      <c r="M2" s="1"/>
      <c r="N2" s="1"/>
      <c r="O2" s="1"/>
      <c r="P2" s="44">
        <f>I8-15749176.33</f>
        <v>7103847.6499999966</v>
      </c>
      <c r="Q2" s="44"/>
      <c r="R2" s="1"/>
      <c r="S2" s="1"/>
      <c r="T2" s="1"/>
      <c r="U2" s="1"/>
      <c r="V2" s="131"/>
      <c r="W2" s="1"/>
      <c r="X2" s="131"/>
      <c r="Y2" s="1"/>
      <c r="Z2" s="1"/>
      <c r="AA2" s="120"/>
      <c r="AB2" s="72"/>
      <c r="AC2" s="73"/>
    </row>
    <row r="3" spans="2:31" ht="18.75" customHeight="1" x14ac:dyDescent="0.25">
      <c r="B3" s="167" t="s">
        <v>0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8"/>
      <c r="X3" s="168"/>
      <c r="Y3" s="168"/>
      <c r="Z3" s="168"/>
      <c r="AA3" s="168"/>
      <c r="AB3" s="168"/>
      <c r="AC3" s="168"/>
    </row>
    <row r="4" spans="2:31" ht="15.75" thickBot="1" x14ac:dyDescent="0.3"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132"/>
      <c r="W4" s="28"/>
      <c r="X4" s="132"/>
      <c r="Y4" s="28"/>
      <c r="Z4" s="28"/>
      <c r="AA4" s="121"/>
      <c r="AB4" s="74"/>
      <c r="AC4" s="75" t="s">
        <v>1</v>
      </c>
    </row>
    <row r="5" spans="2:31" s="3" customFormat="1" ht="36.75" customHeight="1" thickBot="1" x14ac:dyDescent="0.3">
      <c r="B5" s="169" t="s">
        <v>2</v>
      </c>
      <c r="C5" s="172" t="s">
        <v>3</v>
      </c>
      <c r="D5" s="175" t="s">
        <v>4</v>
      </c>
      <c r="E5" s="178"/>
      <c r="F5" s="181" t="s">
        <v>73</v>
      </c>
      <c r="G5" s="181" t="s">
        <v>5</v>
      </c>
      <c r="H5" s="184" t="s">
        <v>74</v>
      </c>
      <c r="I5" s="169" t="s">
        <v>6</v>
      </c>
      <c r="J5" s="184" t="s">
        <v>72</v>
      </c>
      <c r="K5" s="187"/>
      <c r="L5" s="187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9"/>
      <c r="X5" s="159" t="s">
        <v>93</v>
      </c>
      <c r="Y5" s="190" t="s">
        <v>89</v>
      </c>
      <c r="Z5" s="159" t="s">
        <v>90</v>
      </c>
      <c r="AA5" s="161" t="s">
        <v>94</v>
      </c>
      <c r="AB5" s="164" t="s">
        <v>91</v>
      </c>
      <c r="AC5" s="164" t="s">
        <v>92</v>
      </c>
    </row>
    <row r="6" spans="2:31" s="3" customFormat="1" ht="42" customHeight="1" thickBot="1" x14ac:dyDescent="0.3">
      <c r="B6" s="170"/>
      <c r="C6" s="173"/>
      <c r="D6" s="176"/>
      <c r="E6" s="179"/>
      <c r="F6" s="182"/>
      <c r="G6" s="182"/>
      <c r="H6" s="185"/>
      <c r="I6" s="170"/>
      <c r="J6" s="185"/>
      <c r="K6" s="37" t="s">
        <v>75</v>
      </c>
      <c r="L6" s="38" t="s">
        <v>7</v>
      </c>
      <c r="M6" s="29" t="s">
        <v>8</v>
      </c>
      <c r="N6" s="31" t="s">
        <v>9</v>
      </c>
      <c r="O6" s="31" t="s">
        <v>10</v>
      </c>
      <c r="P6" s="31" t="s">
        <v>11</v>
      </c>
      <c r="Q6" s="31" t="s">
        <v>12</v>
      </c>
      <c r="R6" s="31" t="s">
        <v>13</v>
      </c>
      <c r="S6" s="31" t="s">
        <v>14</v>
      </c>
      <c r="T6" s="31" t="s">
        <v>15</v>
      </c>
      <c r="U6" s="31" t="s">
        <v>16</v>
      </c>
      <c r="V6" s="133" t="s">
        <v>88</v>
      </c>
      <c r="W6" s="31" t="s">
        <v>17</v>
      </c>
      <c r="X6" s="160"/>
      <c r="Y6" s="191"/>
      <c r="Z6" s="160"/>
      <c r="AA6" s="162"/>
      <c r="AB6" s="165"/>
      <c r="AC6" s="165"/>
    </row>
    <row r="7" spans="2:31" s="3" customFormat="1" ht="45.75" customHeight="1" thickBot="1" x14ac:dyDescent="0.3">
      <c r="B7" s="171"/>
      <c r="C7" s="174"/>
      <c r="D7" s="177"/>
      <c r="E7" s="180"/>
      <c r="F7" s="183"/>
      <c r="G7" s="183"/>
      <c r="H7" s="186"/>
      <c r="I7" s="43" t="s">
        <v>18</v>
      </c>
      <c r="J7" s="186"/>
      <c r="K7" s="32" t="s">
        <v>18</v>
      </c>
      <c r="L7" s="32" t="s">
        <v>18</v>
      </c>
      <c r="M7" s="4" t="s">
        <v>18</v>
      </c>
      <c r="N7" s="4" t="s">
        <v>18</v>
      </c>
      <c r="O7" s="4" t="s">
        <v>18</v>
      </c>
      <c r="P7" s="4" t="s">
        <v>18</v>
      </c>
      <c r="Q7" s="4" t="s">
        <v>18</v>
      </c>
      <c r="R7" s="4" t="s">
        <v>18</v>
      </c>
      <c r="S7" s="4" t="s">
        <v>18</v>
      </c>
      <c r="T7" s="4" t="s">
        <v>18</v>
      </c>
      <c r="U7" s="4" t="s">
        <v>18</v>
      </c>
      <c r="V7" s="134" t="s">
        <v>18</v>
      </c>
      <c r="W7" s="4" t="s">
        <v>18</v>
      </c>
      <c r="X7" s="160"/>
      <c r="Y7" s="192"/>
      <c r="Z7" s="160"/>
      <c r="AA7" s="163"/>
      <c r="AB7" s="165"/>
      <c r="AC7" s="165"/>
    </row>
    <row r="8" spans="2:31" s="7" customFormat="1" ht="33.75" customHeight="1" thickBot="1" x14ac:dyDescent="0.3">
      <c r="B8" s="5"/>
      <c r="C8" s="5" t="s">
        <v>19</v>
      </c>
      <c r="D8" s="6">
        <f>D9+D14+D21+D30+D34+D35+D45+D50+D56</f>
        <v>0</v>
      </c>
      <c r="E8" s="6">
        <v>0</v>
      </c>
      <c r="F8" s="30">
        <f>F9+F14+F21+F30+F34+F35+F45+F50+F56+F63</f>
        <v>23662000</v>
      </c>
      <c r="G8" s="30">
        <f t="shared" ref="G8:H8" si="0">G9+G14+G21+G30+G34+G35+G45+G50+G56</f>
        <v>0</v>
      </c>
      <c r="H8" s="30">
        <f t="shared" si="0"/>
        <v>23952000</v>
      </c>
      <c r="I8" s="34">
        <f>SUM(K8:W8)</f>
        <v>22853023.979999997</v>
      </c>
      <c r="J8" s="40">
        <f>I8/F8</f>
        <v>0.96581117318907939</v>
      </c>
      <c r="K8" s="34">
        <f>K9+K14+K21+K30+K34+K35+K45+K50+K56+K63</f>
        <v>368587.19</v>
      </c>
      <c r="L8" s="34">
        <f t="shared" ref="L8:S8" si="1">L9+L14+L21+L30+L34+L35+L45+L50+L56+L63</f>
        <v>1046852.83</v>
      </c>
      <c r="M8" s="34">
        <f t="shared" si="1"/>
        <v>473769.24</v>
      </c>
      <c r="N8" s="34">
        <f t="shared" si="1"/>
        <v>9848194.540000001</v>
      </c>
      <c r="O8" s="34">
        <f t="shared" si="1"/>
        <v>1221743.5900000001</v>
      </c>
      <c r="P8" s="34">
        <f t="shared" si="1"/>
        <v>759453.77</v>
      </c>
      <c r="Q8" s="34">
        <f>Q9+Q14+Q21+Q30+Q34+Q35+Q45+Q50+Q56+Q63</f>
        <v>1331468.06</v>
      </c>
      <c r="R8" s="34">
        <f t="shared" si="1"/>
        <v>623413.09</v>
      </c>
      <c r="S8" s="34">
        <f t="shared" si="1"/>
        <v>190885.5</v>
      </c>
      <c r="T8" s="34">
        <f t="shared" ref="T8:V8" si="2">T9+T14+T21+T30+T34+T35+T45+T50+T56</f>
        <v>0</v>
      </c>
      <c r="U8" s="34">
        <f t="shared" si="2"/>
        <v>0</v>
      </c>
      <c r="V8" s="135">
        <f t="shared" si="2"/>
        <v>5250127.9499999993</v>
      </c>
      <c r="W8" s="34">
        <f>W9+W14+W21+W30+W34+W35+W45+W50+W56</f>
        <v>1738528.22</v>
      </c>
      <c r="X8" s="135">
        <f>X9+X14+X21+X30+X34+X35+X45+X50+X56</f>
        <v>1103496.4200000002</v>
      </c>
      <c r="Y8" s="34"/>
      <c r="Z8" s="34"/>
      <c r="AA8" s="122">
        <f>AA9+AA14+AA21+AA30+AA34+AA35+AA45+AA50+AA56</f>
        <v>643853.71000000008</v>
      </c>
      <c r="AB8" s="76">
        <f>AB9+AB14+AB21+AB30+AB34+AB35+AB45+AB50+AB56</f>
        <v>285363.45999999996</v>
      </c>
      <c r="AC8" s="76"/>
    </row>
    <row r="9" spans="2:31" ht="46.5" customHeight="1" x14ac:dyDescent="0.25">
      <c r="B9" s="66" t="s">
        <v>20</v>
      </c>
      <c r="C9" s="67" t="s">
        <v>21</v>
      </c>
      <c r="D9" s="68"/>
      <c r="E9" s="68"/>
      <c r="F9" s="69">
        <f>F10+F11+F12+F13</f>
        <v>2000000</v>
      </c>
      <c r="G9" s="69"/>
      <c r="H9" s="69">
        <f t="shared" ref="H9" si="3">H10+H11+H12+H13</f>
        <v>1920000</v>
      </c>
      <c r="I9" s="68">
        <f>SUM(I10:I13)</f>
        <v>1716431.5899999999</v>
      </c>
      <c r="J9" s="70">
        <f>I9/H9</f>
        <v>0.89397478645833328</v>
      </c>
      <c r="K9" s="68">
        <f>SUM(K10:K13)</f>
        <v>111641.78</v>
      </c>
      <c r="L9" s="68">
        <f>SUM(L10:L13)</f>
        <v>88923.48</v>
      </c>
      <c r="M9" s="68">
        <f>SUM(M10:M13)</f>
        <v>140919.1</v>
      </c>
      <c r="N9" s="68">
        <f t="shared" ref="N9:W9" si="4">SUM(N10:N13)</f>
        <v>160143</v>
      </c>
      <c r="O9" s="68">
        <f t="shared" si="4"/>
        <v>144719.04000000001</v>
      </c>
      <c r="P9" s="68">
        <f t="shared" si="4"/>
        <v>142403.03999999998</v>
      </c>
      <c r="Q9" s="68">
        <f t="shared" si="4"/>
        <v>173365.44</v>
      </c>
      <c r="R9" s="68">
        <f t="shared" si="4"/>
        <v>159539.64000000001</v>
      </c>
      <c r="S9" s="68">
        <f t="shared" si="4"/>
        <v>132697</v>
      </c>
      <c r="T9" s="68">
        <f t="shared" si="4"/>
        <v>0</v>
      </c>
      <c r="U9" s="68">
        <f t="shared" si="4"/>
        <v>0</v>
      </c>
      <c r="V9" s="136">
        <f>SUM(V10:V13)</f>
        <v>462080.07</v>
      </c>
      <c r="W9" s="68">
        <f t="shared" si="4"/>
        <v>0</v>
      </c>
      <c r="X9" s="146">
        <f>SUM(X10:X13)</f>
        <v>203568.41</v>
      </c>
      <c r="Y9" s="71"/>
      <c r="Z9" s="71">
        <f>SUM(Z10:Z13)</f>
        <v>154279.25</v>
      </c>
      <c r="AA9" s="123">
        <f t="shared" ref="AA9:AC9" si="5">SUM(AA10:AA13)</f>
        <v>8497.640000000014</v>
      </c>
      <c r="AB9" s="77">
        <f t="shared" si="5"/>
        <v>40791.51999999999</v>
      </c>
      <c r="AC9" s="77">
        <f t="shared" si="5"/>
        <v>3918.4800000000105</v>
      </c>
    </row>
    <row r="10" spans="2:31" ht="21.75" customHeight="1" x14ac:dyDescent="0.25">
      <c r="B10" s="8"/>
      <c r="C10" s="12" t="s">
        <v>48</v>
      </c>
      <c r="D10" s="9"/>
      <c r="E10" s="9"/>
      <c r="F10" s="22">
        <v>1346000</v>
      </c>
      <c r="G10" s="22"/>
      <c r="H10" s="22">
        <v>1266000</v>
      </c>
      <c r="I10" s="51">
        <f>SUM(K10:W10)</f>
        <v>1142928.5</v>
      </c>
      <c r="J10" s="60">
        <f>I10/H10</f>
        <v>0.90278712480252765</v>
      </c>
      <c r="K10" s="9">
        <v>78031</v>
      </c>
      <c r="L10" s="26">
        <v>55539</v>
      </c>
      <c r="M10" s="9">
        <v>106685</v>
      </c>
      <c r="N10" s="9">
        <v>117826</v>
      </c>
      <c r="O10" s="9">
        <v>101056</v>
      </c>
      <c r="P10" s="9">
        <v>94720</v>
      </c>
      <c r="Q10" s="9">
        <v>104270</v>
      </c>
      <c r="R10" s="9">
        <v>104542</v>
      </c>
      <c r="S10" s="9">
        <v>87206</v>
      </c>
      <c r="T10" s="9"/>
      <c r="U10" s="47"/>
      <c r="V10" s="137">
        <f>(P10+Q10+R10+S10)/4*3</f>
        <v>293053.5</v>
      </c>
      <c r="W10" s="9"/>
      <c r="X10" s="147">
        <f>H10-I10</f>
        <v>123071.5</v>
      </c>
      <c r="Y10" s="22">
        <v>1020186</v>
      </c>
      <c r="Z10" s="22">
        <f>Y10-(N10+O10+P10+Q10+R10+S10+T10+U10+V10)</f>
        <v>117512.5</v>
      </c>
      <c r="AA10" s="124">
        <f>X10-AB10-Z10</f>
        <v>5559</v>
      </c>
      <c r="AB10" s="78">
        <v>0</v>
      </c>
      <c r="AC10" s="79">
        <v>0</v>
      </c>
      <c r="AD10" s="2">
        <v>105000</v>
      </c>
    </row>
    <row r="11" spans="2:31" ht="33.75" customHeight="1" x14ac:dyDescent="0.25">
      <c r="B11" s="8"/>
      <c r="C11" s="12" t="s">
        <v>49</v>
      </c>
      <c r="D11" s="9"/>
      <c r="E11" s="9"/>
      <c r="F11" s="22">
        <v>54000</v>
      </c>
      <c r="G11" s="45"/>
      <c r="H11" s="22">
        <v>54000</v>
      </c>
      <c r="I11" s="51">
        <f t="shared" ref="I11:I61" si="6">SUM(K11:W11)</f>
        <v>21729.25</v>
      </c>
      <c r="J11" s="60">
        <f t="shared" ref="J11:J13" si="7">I11/H11</f>
        <v>0.40239351851851851</v>
      </c>
      <c r="K11" s="9">
        <v>1926</v>
      </c>
      <c r="L11" s="26">
        <v>1529</v>
      </c>
      <c r="M11" s="9">
        <v>2365</v>
      </c>
      <c r="N11" s="9">
        <v>1627</v>
      </c>
      <c r="O11" s="9">
        <v>1215</v>
      </c>
      <c r="P11" s="9">
        <v>1475</v>
      </c>
      <c r="Q11" s="9">
        <v>2257</v>
      </c>
      <c r="R11" s="9">
        <v>1834</v>
      </c>
      <c r="S11" s="9">
        <v>1901</v>
      </c>
      <c r="T11" s="9"/>
      <c r="U11" s="48"/>
      <c r="V11" s="137">
        <f>(P11+Q11+R11+S11)/4*3</f>
        <v>5600.25</v>
      </c>
      <c r="W11" s="9"/>
      <c r="X11" s="147">
        <f t="shared" ref="X11:X65" si="8">H11-I11</f>
        <v>32270.75</v>
      </c>
      <c r="Y11" s="22">
        <f>54000-4500</f>
        <v>49500</v>
      </c>
      <c r="Z11" s="22">
        <f>Y11-(M11+L11+N11+O11+P11+Q11+R11+S11+T11+U11+V11)</f>
        <v>29696.75</v>
      </c>
      <c r="AA11" s="124">
        <f t="shared" ref="AA11:AA61" si="9">X11-AB11-Z11</f>
        <v>2574</v>
      </c>
      <c r="AB11" s="78">
        <v>0</v>
      </c>
      <c r="AC11" s="79">
        <v>0</v>
      </c>
      <c r="AD11" s="2">
        <v>31000</v>
      </c>
    </row>
    <row r="12" spans="2:31" ht="51.75" customHeight="1" x14ac:dyDescent="0.25">
      <c r="B12" s="8"/>
      <c r="C12" s="12" t="s">
        <v>50</v>
      </c>
      <c r="D12" s="9"/>
      <c r="E12" s="9"/>
      <c r="F12" s="22">
        <v>200000</v>
      </c>
      <c r="G12" s="45"/>
      <c r="H12" s="22">
        <v>200000</v>
      </c>
      <c r="I12" s="51">
        <f t="shared" si="6"/>
        <v>159008.48000000001</v>
      </c>
      <c r="J12" s="60">
        <f t="shared" si="7"/>
        <v>0.79504240000000004</v>
      </c>
      <c r="K12" s="9">
        <v>8874</v>
      </c>
      <c r="L12" s="26">
        <v>8950</v>
      </c>
      <c r="M12" s="14">
        <v>8950</v>
      </c>
      <c r="N12" s="14">
        <v>640</v>
      </c>
      <c r="O12" s="14">
        <v>9073.0400000000009</v>
      </c>
      <c r="P12" s="14">
        <v>8043.04</v>
      </c>
      <c r="Q12" s="14">
        <v>21603.439999999999</v>
      </c>
      <c r="R12" s="14">
        <v>21968.639999999999</v>
      </c>
      <c r="S12" s="9">
        <v>14925</v>
      </c>
      <c r="T12" s="14"/>
      <c r="U12" s="49"/>
      <c r="V12" s="137">
        <f>(Q12+R12+S12)/3*3-2515.76</f>
        <v>55981.32</v>
      </c>
      <c r="W12" s="14"/>
      <c r="X12" s="147">
        <f t="shared" si="8"/>
        <v>40991.51999999999</v>
      </c>
      <c r="Y12" s="22">
        <f>144980-12745.52</f>
        <v>132234.48000000001</v>
      </c>
      <c r="Z12" s="22">
        <f>Y12-(N12+O12+P12+Q12+R12+S12+T12+U12+V12)</f>
        <v>0</v>
      </c>
      <c r="AA12" s="124">
        <f t="shared" si="9"/>
        <v>200</v>
      </c>
      <c r="AB12" s="78">
        <f>189690-16665-(144980-12746.52)</f>
        <v>40791.51999999999</v>
      </c>
      <c r="AC12" s="79">
        <f>189690-144980-AB12</f>
        <v>3918.4800000000105</v>
      </c>
    </row>
    <row r="13" spans="2:31" ht="23.25" customHeight="1" x14ac:dyDescent="0.25">
      <c r="B13" s="8"/>
      <c r="C13" s="12" t="s">
        <v>51</v>
      </c>
      <c r="D13" s="9"/>
      <c r="E13" s="9"/>
      <c r="F13" s="22">
        <v>400000</v>
      </c>
      <c r="G13" s="45"/>
      <c r="H13" s="22">
        <v>400000</v>
      </c>
      <c r="I13" s="51">
        <f t="shared" si="6"/>
        <v>392765.36</v>
      </c>
      <c r="J13" s="60">
        <f t="shared" si="7"/>
        <v>0.98191339999999994</v>
      </c>
      <c r="K13" s="9">
        <v>22810.78</v>
      </c>
      <c r="L13" s="9">
        <v>22905.48</v>
      </c>
      <c r="M13" s="14">
        <v>22919.1</v>
      </c>
      <c r="N13" s="14">
        <v>40050</v>
      </c>
      <c r="O13" s="14">
        <v>33375</v>
      </c>
      <c r="P13" s="14">
        <v>38165</v>
      </c>
      <c r="Q13" s="14">
        <v>45235</v>
      </c>
      <c r="R13" s="14">
        <v>31195</v>
      </c>
      <c r="S13" s="9">
        <v>28665</v>
      </c>
      <c r="T13" s="14"/>
      <c r="U13" s="50"/>
      <c r="V13" s="137">
        <f>(P13+Q13+R13+S13)/4*3</f>
        <v>107445</v>
      </c>
      <c r="W13" s="14"/>
      <c r="X13" s="147">
        <f t="shared" si="8"/>
        <v>7234.640000000014</v>
      </c>
      <c r="Y13" s="22">
        <v>331200</v>
      </c>
      <c r="Z13" s="22">
        <f>Y13-(N13+O13+P13+Q13+R13+S13+T13+U13+V13)</f>
        <v>7070</v>
      </c>
      <c r="AA13" s="124">
        <f t="shared" si="9"/>
        <v>164.64000000001397</v>
      </c>
      <c r="AB13" s="78">
        <v>0</v>
      </c>
      <c r="AC13" s="79">
        <v>0</v>
      </c>
    </row>
    <row r="14" spans="2:31" ht="24" customHeight="1" x14ac:dyDescent="0.25">
      <c r="B14" s="66" t="s">
        <v>22</v>
      </c>
      <c r="C14" s="92" t="s">
        <v>23</v>
      </c>
      <c r="D14" s="93"/>
      <c r="E14" s="94"/>
      <c r="F14" s="95">
        <f>F15+F16+F17+F20</f>
        <v>14280000</v>
      </c>
      <c r="G14" s="95">
        <f t="shared" ref="G14:H14" si="10">G15+G16+G17+G20</f>
        <v>0</v>
      </c>
      <c r="H14" s="95">
        <f t="shared" si="10"/>
        <v>15410000</v>
      </c>
      <c r="I14" s="68">
        <f>I15+I16+I17+I20-0.01</f>
        <v>15322652.49</v>
      </c>
      <c r="J14" s="96">
        <f t="shared" ref="J14:J47" si="11">I14/F14</f>
        <v>1.0730148802521009</v>
      </c>
      <c r="K14" s="97">
        <f>K15+K16+K17+K20</f>
        <v>997</v>
      </c>
      <c r="L14" s="97">
        <f t="shared" ref="L14:W14" si="12">L15+L16+L17+L20</f>
        <v>646035.78</v>
      </c>
      <c r="M14" s="97">
        <f t="shared" si="12"/>
        <v>384</v>
      </c>
      <c r="N14" s="97">
        <f t="shared" si="12"/>
        <v>9333921.7300000004</v>
      </c>
      <c r="O14" s="97">
        <f t="shared" si="12"/>
        <v>610580.27</v>
      </c>
      <c r="P14" s="97">
        <f t="shared" si="12"/>
        <v>15460</v>
      </c>
      <c r="Q14" s="97">
        <f t="shared" si="12"/>
        <v>335455.99</v>
      </c>
      <c r="R14" s="97">
        <f t="shared" si="12"/>
        <v>175</v>
      </c>
      <c r="S14" s="97">
        <f t="shared" si="12"/>
        <v>0</v>
      </c>
      <c r="T14" s="97">
        <f t="shared" si="12"/>
        <v>0</v>
      </c>
      <c r="U14" s="97">
        <f t="shared" si="12"/>
        <v>0</v>
      </c>
      <c r="V14" s="138">
        <f t="shared" si="12"/>
        <v>2641114.5099999998</v>
      </c>
      <c r="W14" s="97">
        <f t="shared" si="12"/>
        <v>1738528.22</v>
      </c>
      <c r="X14" s="148">
        <f>SUM(X15:X20)</f>
        <v>87347.5</v>
      </c>
      <c r="Y14" s="98"/>
      <c r="Z14" s="99">
        <f>SUM(Z15:Z20)-Z18-Z19</f>
        <v>0</v>
      </c>
      <c r="AA14" s="125">
        <f>SUM(AA15:AA20)-AA18-AA19</f>
        <v>41131</v>
      </c>
      <c r="AB14" s="129">
        <f>SUM(AB15:AB20)-AB18-AB19</f>
        <v>46216.5</v>
      </c>
      <c r="AC14" s="101"/>
    </row>
    <row r="15" spans="2:31" ht="25.5" customHeight="1" x14ac:dyDescent="0.25">
      <c r="B15" s="8"/>
      <c r="C15" s="12" t="s">
        <v>52</v>
      </c>
      <c r="D15" s="9"/>
      <c r="E15" s="13"/>
      <c r="F15" s="22">
        <v>9800000</v>
      </c>
      <c r="G15" s="22"/>
      <c r="H15" s="22">
        <v>10770000</v>
      </c>
      <c r="I15" s="51">
        <f>SUM(K15:W15)</f>
        <v>10770000</v>
      </c>
      <c r="J15" s="60">
        <f t="shared" si="11"/>
        <v>1.0989795918367347</v>
      </c>
      <c r="K15" s="9"/>
      <c r="L15" s="26">
        <v>645655.78</v>
      </c>
      <c r="M15" s="14"/>
      <c r="N15" s="59">
        <f>930448.73+[1]Re_all2016!$H$488+[1]Re_all2016!$H$490</f>
        <v>8023574.7299999995</v>
      </c>
      <c r="O15" s="14">
        <v>610041.27</v>
      </c>
      <c r="P15" s="15"/>
      <c r="Q15" s="14"/>
      <c r="R15" s="14"/>
      <c r="S15" s="14"/>
      <c r="T15" s="15"/>
      <c r="U15" s="14"/>
      <c r="V15" s="139"/>
      <c r="W15" s="89">
        <v>1490728.22</v>
      </c>
      <c r="X15" s="147">
        <f t="shared" si="8"/>
        <v>0</v>
      </c>
      <c r="Y15" s="22"/>
      <c r="Z15" s="22"/>
      <c r="AA15" s="124"/>
      <c r="AB15" s="80"/>
      <c r="AC15" s="81"/>
      <c r="AD15" s="2">
        <v>-1139000</v>
      </c>
      <c r="AE15" s="158"/>
    </row>
    <row r="16" spans="2:31" ht="23.25" customHeight="1" x14ac:dyDescent="0.25">
      <c r="B16" s="8"/>
      <c r="C16" s="12" t="s">
        <v>53</v>
      </c>
      <c r="D16" s="9"/>
      <c r="E16" s="13"/>
      <c r="F16" s="22">
        <v>140000</v>
      </c>
      <c r="G16" s="22"/>
      <c r="H16" s="22">
        <v>40000</v>
      </c>
      <c r="I16" s="51">
        <f t="shared" si="6"/>
        <v>28422.5</v>
      </c>
      <c r="J16" s="60">
        <f t="shared" si="11"/>
        <v>0.20301785714285714</v>
      </c>
      <c r="K16" s="9"/>
      <c r="L16" s="26"/>
      <c r="M16" s="15"/>
      <c r="N16" s="15"/>
      <c r="O16" s="14"/>
      <c r="P16" s="14">
        <v>15000</v>
      </c>
      <c r="Q16" s="14"/>
      <c r="R16" s="90">
        <v>0</v>
      </c>
      <c r="S16" s="14"/>
      <c r="T16" s="15"/>
      <c r="U16" s="14"/>
      <c r="V16" s="140">
        <v>13422.5</v>
      </c>
      <c r="W16" s="14"/>
      <c r="X16" s="147">
        <f t="shared" si="8"/>
        <v>11577.5</v>
      </c>
      <c r="Y16" s="22">
        <f>15000+8554+4868.5</f>
        <v>28422.5</v>
      </c>
      <c r="Z16" s="22">
        <f t="shared" ref="Z16" si="13">Y16-(N16+O16+P16+Q16+R16+S16+T16+U16+V16)</f>
        <v>0</v>
      </c>
      <c r="AA16" s="124">
        <f t="shared" si="9"/>
        <v>5630</v>
      </c>
      <c r="AB16" s="80">
        <f>(13000-8554)+(6370-4868.5)</f>
        <v>5947.5</v>
      </c>
      <c r="AC16" s="81"/>
    </row>
    <row r="17" spans="2:31" ht="34.5" customHeight="1" x14ac:dyDescent="0.25">
      <c r="B17" s="8"/>
      <c r="C17" s="12" t="s">
        <v>54</v>
      </c>
      <c r="D17" s="9"/>
      <c r="E17" s="13"/>
      <c r="F17" s="22">
        <v>4300000</v>
      </c>
      <c r="G17" s="22"/>
      <c r="H17" s="22">
        <v>4560000</v>
      </c>
      <c r="I17" s="51">
        <f>SUM(K17:W17)</f>
        <v>4500428</v>
      </c>
      <c r="J17" s="60">
        <f t="shared" si="11"/>
        <v>1.0466111627906978</v>
      </c>
      <c r="K17" s="9">
        <f>K18+K19</f>
        <v>0</v>
      </c>
      <c r="L17" s="9">
        <f t="shared" ref="L17:W17" si="14">L18+L19</f>
        <v>0</v>
      </c>
      <c r="M17" s="9">
        <f t="shared" si="14"/>
        <v>0</v>
      </c>
      <c r="N17" s="9">
        <f t="shared" si="14"/>
        <v>1309836</v>
      </c>
      <c r="O17" s="9">
        <f t="shared" si="14"/>
        <v>0</v>
      </c>
      <c r="P17" s="9">
        <f t="shared" si="14"/>
        <v>0</v>
      </c>
      <c r="Q17" s="9">
        <f t="shared" si="14"/>
        <v>335099.99</v>
      </c>
      <c r="R17" s="9">
        <f t="shared" si="14"/>
        <v>0</v>
      </c>
      <c r="S17" s="9">
        <f t="shared" si="14"/>
        <v>0</v>
      </c>
      <c r="T17" s="9">
        <f t="shared" si="14"/>
        <v>0</v>
      </c>
      <c r="U17" s="9">
        <f t="shared" si="14"/>
        <v>0</v>
      </c>
      <c r="V17" s="137">
        <f t="shared" si="14"/>
        <v>2607692.0099999998</v>
      </c>
      <c r="W17" s="9">
        <f t="shared" si="14"/>
        <v>247800</v>
      </c>
      <c r="X17" s="147">
        <f t="shared" si="8"/>
        <v>59572</v>
      </c>
      <c r="Y17" s="22"/>
      <c r="Z17" s="22"/>
      <c r="AA17" s="124">
        <f t="shared" si="9"/>
        <v>19303</v>
      </c>
      <c r="AB17" s="80">
        <f>AB18+AB19</f>
        <v>40269</v>
      </c>
      <c r="AC17" s="81"/>
      <c r="AD17" s="2">
        <f>19000+493000</f>
        <v>512000</v>
      </c>
      <c r="AE17" s="2">
        <f>16854*53.27</f>
        <v>897812.58000000007</v>
      </c>
    </row>
    <row r="18" spans="2:31" ht="24" customHeight="1" x14ac:dyDescent="0.25">
      <c r="B18" s="8"/>
      <c r="C18" s="12" t="s">
        <v>39</v>
      </c>
      <c r="D18" s="22"/>
      <c r="E18" s="16"/>
      <c r="F18" s="22"/>
      <c r="G18" s="22"/>
      <c r="H18" s="22"/>
      <c r="I18" s="51"/>
      <c r="J18" s="60"/>
      <c r="K18" s="9"/>
      <c r="L18" s="26"/>
      <c r="M18" s="26"/>
      <c r="N18" s="26">
        <v>723866</v>
      </c>
      <c r="O18" s="26"/>
      <c r="P18" s="26"/>
      <c r="Q18" s="26">
        <v>335099.99</v>
      </c>
      <c r="R18" s="36"/>
      <c r="S18" s="26"/>
      <c r="T18" s="33"/>
      <c r="U18" s="26"/>
      <c r="V18" s="141">
        <f>1898700-Q18</f>
        <v>1563600.01</v>
      </c>
      <c r="W18" s="91">
        <v>108000</v>
      </c>
      <c r="X18" s="147">
        <f t="shared" si="8"/>
        <v>0</v>
      </c>
      <c r="Y18" s="22"/>
      <c r="Z18" s="22"/>
      <c r="AA18" s="124"/>
      <c r="AB18" s="80">
        <f>1938969-1898700</f>
        <v>40269</v>
      </c>
      <c r="AC18" s="81"/>
      <c r="AE18" s="2">
        <f>16854*10*2.4</f>
        <v>404496</v>
      </c>
    </row>
    <row r="19" spans="2:31" ht="25.5" customHeight="1" x14ac:dyDescent="0.25">
      <c r="B19" s="8"/>
      <c r="C19" s="12" t="s">
        <v>40</v>
      </c>
      <c r="D19" s="22"/>
      <c r="E19" s="16"/>
      <c r="F19" s="22"/>
      <c r="G19" s="22"/>
      <c r="H19" s="22"/>
      <c r="I19" s="51"/>
      <c r="J19" s="60"/>
      <c r="K19" s="9"/>
      <c r="L19" s="26"/>
      <c r="M19" s="26"/>
      <c r="N19" s="26">
        <v>585970</v>
      </c>
      <c r="O19" s="26"/>
      <c r="P19" s="26"/>
      <c r="Q19" s="26"/>
      <c r="R19" s="26"/>
      <c r="S19" s="26"/>
      <c r="T19" s="33"/>
      <c r="U19" s="26"/>
      <c r="V19" s="141">
        <f>1630062-N19</f>
        <v>1044092</v>
      </c>
      <c r="W19" s="91">
        <v>139800</v>
      </c>
      <c r="X19" s="147">
        <f t="shared" si="8"/>
        <v>0</v>
      </c>
      <c r="Y19" s="22"/>
      <c r="Z19" s="22"/>
      <c r="AA19" s="124"/>
      <c r="AB19" s="80"/>
      <c r="AC19" s="81"/>
      <c r="AE19" s="2">
        <f>AE17-AE18</f>
        <v>493316.58000000007</v>
      </c>
    </row>
    <row r="20" spans="2:31" ht="30" customHeight="1" x14ac:dyDescent="0.25">
      <c r="B20" s="8"/>
      <c r="C20" s="12" t="s">
        <v>55</v>
      </c>
      <c r="D20" s="17"/>
      <c r="E20" s="18"/>
      <c r="F20" s="22">
        <v>40000</v>
      </c>
      <c r="G20" s="22"/>
      <c r="H20" s="22">
        <v>40000</v>
      </c>
      <c r="I20" s="51">
        <f>SUM(K20:W20)</f>
        <v>23802</v>
      </c>
      <c r="J20" s="60">
        <f t="shared" si="11"/>
        <v>0.59504999999999997</v>
      </c>
      <c r="K20" s="9">
        <v>997</v>
      </c>
      <c r="L20" s="52">
        <v>380</v>
      </c>
      <c r="M20" s="52">
        <v>384</v>
      </c>
      <c r="N20" s="9">
        <v>511</v>
      </c>
      <c r="O20" s="9">
        <v>539</v>
      </c>
      <c r="P20" s="9">
        <v>460</v>
      </c>
      <c r="Q20" s="9">
        <f>350+6</f>
        <v>356</v>
      </c>
      <c r="R20" s="9">
        <f>181-6</f>
        <v>175</v>
      </c>
      <c r="S20" s="9"/>
      <c r="T20" s="9"/>
      <c r="U20" s="9"/>
      <c r="V20" s="137">
        <v>20000</v>
      </c>
      <c r="W20" s="9"/>
      <c r="X20" s="147">
        <f t="shared" si="8"/>
        <v>16198</v>
      </c>
      <c r="Y20" s="22"/>
      <c r="Z20" s="22"/>
      <c r="AA20" s="124">
        <f t="shared" si="9"/>
        <v>16198</v>
      </c>
      <c r="AB20" s="80"/>
      <c r="AC20" s="81"/>
    </row>
    <row r="21" spans="2:31" ht="26.25" customHeight="1" x14ac:dyDescent="0.25">
      <c r="B21" s="66" t="s">
        <v>24</v>
      </c>
      <c r="C21" s="104" t="s">
        <v>25</v>
      </c>
      <c r="D21" s="97"/>
      <c r="E21" s="97"/>
      <c r="F21" s="95">
        <f>F22+F23+F24+F25+F26+F29</f>
        <v>1700000</v>
      </c>
      <c r="G21" s="95"/>
      <c r="H21" s="95">
        <f>H22+H23+H24+H25+H26+H29</f>
        <v>1700000</v>
      </c>
      <c r="I21" s="68">
        <f>SUM(K21:W21)</f>
        <v>1621920.35</v>
      </c>
      <c r="J21" s="96">
        <f>I21/F21</f>
        <v>0.95407079411764706</v>
      </c>
      <c r="K21" s="97">
        <f>SUM(K22:K29)</f>
        <v>39882.729999999996</v>
      </c>
      <c r="L21" s="97">
        <f>SUM(L22:L29)</f>
        <v>39993.480000000003</v>
      </c>
      <c r="M21" s="97">
        <f t="shared" ref="M21:Q21" si="15">SUM(M22:M29)</f>
        <v>40046.480000000003</v>
      </c>
      <c r="N21" s="97">
        <f t="shared" si="15"/>
        <v>40044.480000000003</v>
      </c>
      <c r="O21" s="97">
        <f t="shared" si="15"/>
        <v>172402.48</v>
      </c>
      <c r="P21" s="97">
        <f>SUM(P22:P29)</f>
        <v>246495.06</v>
      </c>
      <c r="Q21" s="97">
        <f t="shared" si="15"/>
        <v>457492.56</v>
      </c>
      <c r="R21" s="97">
        <f t="shared" ref="R21" si="16">SUM(R22:R29)</f>
        <v>41002.68</v>
      </c>
      <c r="S21" s="97">
        <f t="shared" ref="S21" si="17">SUM(S22:S29)</f>
        <v>0</v>
      </c>
      <c r="T21" s="97">
        <f t="shared" ref="T21" si="18">SUM(T22:T29)</f>
        <v>0</v>
      </c>
      <c r="U21" s="97">
        <f t="shared" ref="U21" si="19">SUM(U22:U29)</f>
        <v>0</v>
      </c>
      <c r="V21" s="138">
        <f>V22+V23+V24+V26+V29</f>
        <v>544560.4</v>
      </c>
      <c r="W21" s="97">
        <f t="shared" ref="V21:W21" si="20">SUM(W22:W29)</f>
        <v>0</v>
      </c>
      <c r="X21" s="148">
        <f>SUM(X22:X29)</f>
        <v>62160.049999999988</v>
      </c>
      <c r="Y21" s="98"/>
      <c r="Z21" s="98"/>
      <c r="AA21" s="125">
        <f>SUM(AA22:AA29)</f>
        <v>55957.049999999988</v>
      </c>
      <c r="AB21" s="129">
        <f>SUM(AB22:AB29)</f>
        <v>6203</v>
      </c>
      <c r="AC21" s="105"/>
    </row>
    <row r="22" spans="2:31" ht="88.5" customHeight="1" x14ac:dyDescent="0.25">
      <c r="B22" s="8"/>
      <c r="C22" s="12" t="s">
        <v>56</v>
      </c>
      <c r="D22" s="9"/>
      <c r="E22" s="9"/>
      <c r="F22" s="22">
        <v>462000</v>
      </c>
      <c r="G22" s="22"/>
      <c r="H22" s="22">
        <v>462000</v>
      </c>
      <c r="I22" s="51">
        <f t="shared" ref="I22:I29" si="21">SUM(K22:W22)</f>
        <v>461984.35</v>
      </c>
      <c r="J22" s="60">
        <f t="shared" si="11"/>
        <v>0.99996612554112552</v>
      </c>
      <c r="K22" s="9">
        <v>38484.35</v>
      </c>
      <c r="L22" s="26">
        <v>38500</v>
      </c>
      <c r="M22" s="14">
        <v>38500</v>
      </c>
      <c r="N22" s="14">
        <v>38500</v>
      </c>
      <c r="O22" s="14">
        <v>38500</v>
      </c>
      <c r="P22" s="14">
        <v>38500</v>
      </c>
      <c r="Q22" s="14">
        <v>38500</v>
      </c>
      <c r="R22" s="14">
        <v>38500</v>
      </c>
      <c r="S22" s="14"/>
      <c r="T22" s="14"/>
      <c r="U22" s="14"/>
      <c r="V22" s="140">
        <f>R22*4</f>
        <v>154000</v>
      </c>
      <c r="W22" s="14"/>
      <c r="X22" s="147">
        <f t="shared" si="8"/>
        <v>15.650000000023283</v>
      </c>
      <c r="Y22" s="22"/>
      <c r="Z22" s="22"/>
      <c r="AA22" s="124">
        <f t="shared" si="9"/>
        <v>15.650000000023283</v>
      </c>
      <c r="AB22" s="80"/>
      <c r="AC22" s="81"/>
    </row>
    <row r="23" spans="2:31" ht="39.75" customHeight="1" x14ac:dyDescent="0.25">
      <c r="B23" s="8"/>
      <c r="C23" s="12" t="s">
        <v>57</v>
      </c>
      <c r="D23" s="9"/>
      <c r="E23" s="9"/>
      <c r="F23" s="22">
        <v>235000</v>
      </c>
      <c r="G23" s="22"/>
      <c r="H23" s="22">
        <v>225000</v>
      </c>
      <c r="I23" s="51">
        <f t="shared" si="21"/>
        <v>185344.10000000003</v>
      </c>
      <c r="J23" s="60">
        <f t="shared" si="11"/>
        <v>0.78869829787234058</v>
      </c>
      <c r="K23" s="9">
        <v>1346.38</v>
      </c>
      <c r="L23" s="26">
        <v>1460.48</v>
      </c>
      <c r="M23" s="14">
        <v>1460.48</v>
      </c>
      <c r="N23" s="14">
        <v>1460.48</v>
      </c>
      <c r="O23" s="14">
        <f>129760+1460.48</f>
        <v>131220.48000000001</v>
      </c>
      <c r="P23" s="14">
        <v>18640.28</v>
      </c>
      <c r="Q23" s="14">
        <v>2720.48</v>
      </c>
      <c r="R23" s="14">
        <v>1460.48</v>
      </c>
      <c r="S23" s="14"/>
      <c r="T23" s="14"/>
      <c r="U23" s="14"/>
      <c r="V23" s="140">
        <f>185344.1-159769.54</f>
        <v>25574.559999999998</v>
      </c>
      <c r="W23" s="14"/>
      <c r="X23" s="147">
        <f t="shared" si="8"/>
        <v>39655.899999999965</v>
      </c>
      <c r="Y23" s="22">
        <v>185344.1</v>
      </c>
      <c r="Z23" s="22"/>
      <c r="AA23" s="124">
        <f t="shared" si="9"/>
        <v>34569.899999999965</v>
      </c>
      <c r="AB23" s="80">
        <f>130560-129760+16700.5-12414.5</f>
        <v>5086</v>
      </c>
      <c r="AC23" s="81"/>
      <c r="AD23" s="2">
        <v>34000</v>
      </c>
    </row>
    <row r="24" spans="2:31" ht="24.75" customHeight="1" x14ac:dyDescent="0.25">
      <c r="B24" s="8"/>
      <c r="C24" s="12" t="s">
        <v>58</v>
      </c>
      <c r="D24" s="9"/>
      <c r="E24" s="9"/>
      <c r="F24" s="22">
        <v>25000</v>
      </c>
      <c r="G24" s="46"/>
      <c r="H24" s="9">
        <v>25000</v>
      </c>
      <c r="I24" s="51">
        <f t="shared" si="21"/>
        <v>14379.8</v>
      </c>
      <c r="J24" s="60">
        <f t="shared" si="11"/>
        <v>0.57519199999999993</v>
      </c>
      <c r="K24" s="9">
        <v>46</v>
      </c>
      <c r="L24" s="26">
        <v>24</v>
      </c>
      <c r="M24" s="14">
        <v>50</v>
      </c>
      <c r="N24" s="14">
        <v>12</v>
      </c>
      <c r="O24" s="14">
        <v>2607</v>
      </c>
      <c r="P24" s="14">
        <v>1379</v>
      </c>
      <c r="Q24" s="14">
        <f>200+52</f>
        <v>252</v>
      </c>
      <c r="R24" s="14">
        <v>979.2</v>
      </c>
      <c r="S24" s="14"/>
      <c r="T24" s="14"/>
      <c r="U24" s="14"/>
      <c r="V24" s="140">
        <f>14379.8-5349.2</f>
        <v>9030.5999999999985</v>
      </c>
      <c r="W24" s="14"/>
      <c r="X24" s="147">
        <f t="shared" si="8"/>
        <v>10620.2</v>
      </c>
      <c r="Y24" s="22">
        <v>14379.8</v>
      </c>
      <c r="Z24" s="22"/>
      <c r="AA24" s="124">
        <f t="shared" si="9"/>
        <v>10342</v>
      </c>
      <c r="AB24" s="80">
        <f>6908-6858.8+1864-1635</f>
        <v>278.19999999999982</v>
      </c>
      <c r="AC24" s="81"/>
      <c r="AD24" s="2">
        <v>10000</v>
      </c>
    </row>
    <row r="25" spans="2:31" ht="19.5" customHeight="1" x14ac:dyDescent="0.25">
      <c r="B25" s="8"/>
      <c r="C25" s="12" t="s">
        <v>59</v>
      </c>
      <c r="D25" s="9"/>
      <c r="E25" s="9"/>
      <c r="F25" s="22">
        <v>33000</v>
      </c>
      <c r="G25" s="9"/>
      <c r="H25" s="9">
        <v>33000</v>
      </c>
      <c r="I25" s="51">
        <f t="shared" si="21"/>
        <v>31331.7</v>
      </c>
      <c r="J25" s="60">
        <f t="shared" si="11"/>
        <v>0.94944545454545459</v>
      </c>
      <c r="K25" s="9">
        <v>6</v>
      </c>
      <c r="L25" s="26">
        <v>9</v>
      </c>
      <c r="M25" s="19">
        <v>36</v>
      </c>
      <c r="N25" s="14">
        <v>72</v>
      </c>
      <c r="O25" s="14">
        <v>75</v>
      </c>
      <c r="P25" s="14">
        <v>1517.1</v>
      </c>
      <c r="Q25" s="14">
        <f>13480+54</f>
        <v>13534</v>
      </c>
      <c r="R25" s="14">
        <v>63</v>
      </c>
      <c r="S25" s="14"/>
      <c r="T25" s="14"/>
      <c r="U25" s="14"/>
      <c r="V25" s="140">
        <f>31331.7-15312.1</f>
        <v>16019.6</v>
      </c>
      <c r="W25" s="14"/>
      <c r="X25" s="147">
        <f t="shared" si="8"/>
        <v>1668.2999999999993</v>
      </c>
      <c r="Y25" s="22">
        <v>31331.7</v>
      </c>
      <c r="Z25" s="22"/>
      <c r="AA25" s="124">
        <f t="shared" si="9"/>
        <v>909.49999999999909</v>
      </c>
      <c r="AB25" s="80">
        <f>3505.5-2746.7</f>
        <v>758.80000000000018</v>
      </c>
      <c r="AC25" s="81"/>
    </row>
    <row r="26" spans="2:31" ht="51.75" customHeight="1" x14ac:dyDescent="0.25">
      <c r="B26" s="8"/>
      <c r="C26" s="12" t="s">
        <v>85</v>
      </c>
      <c r="D26" s="9"/>
      <c r="E26" s="9"/>
      <c r="F26" s="22">
        <v>245000</v>
      </c>
      <c r="G26" s="22"/>
      <c r="H26" s="22">
        <f>H27+H28</f>
        <v>299600</v>
      </c>
      <c r="I26" s="51">
        <f t="shared" si="21"/>
        <v>299500</v>
      </c>
      <c r="J26" s="60">
        <f t="shared" si="11"/>
        <v>1.2224489795918367</v>
      </c>
      <c r="K26" s="9"/>
      <c r="L26" s="26"/>
      <c r="M26" s="14"/>
      <c r="N26" s="14"/>
      <c r="O26" s="14"/>
      <c r="P26" s="14"/>
      <c r="Q26" s="14"/>
      <c r="R26" s="14"/>
      <c r="S26" s="14"/>
      <c r="T26" s="14"/>
      <c r="U26" s="14"/>
      <c r="V26" s="140">
        <f>SUM(V27:V28)</f>
        <v>299500</v>
      </c>
      <c r="W26" s="14"/>
      <c r="X26" s="147">
        <f t="shared" si="8"/>
        <v>100</v>
      </c>
      <c r="Y26" s="22"/>
      <c r="Z26" s="22"/>
      <c r="AA26" s="124">
        <f t="shared" si="9"/>
        <v>100</v>
      </c>
      <c r="AB26" s="80"/>
      <c r="AC26" s="81"/>
    </row>
    <row r="27" spans="2:31" ht="33" customHeight="1" x14ac:dyDescent="0.25">
      <c r="B27" s="21"/>
      <c r="C27" s="12" t="s">
        <v>86</v>
      </c>
      <c r="D27" s="51"/>
      <c r="E27" s="51"/>
      <c r="F27" s="45"/>
      <c r="G27" s="45"/>
      <c r="H27" s="45">
        <v>182900</v>
      </c>
      <c r="I27" s="51">
        <f t="shared" si="21"/>
        <v>182800</v>
      </c>
      <c r="J27" s="60"/>
      <c r="K27" s="9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141">
        <v>182800</v>
      </c>
      <c r="W27" s="26"/>
      <c r="X27" s="147">
        <f t="shared" si="8"/>
        <v>100</v>
      </c>
      <c r="Y27" s="45"/>
      <c r="Z27" s="45"/>
      <c r="AA27" s="124">
        <f t="shared" si="9"/>
        <v>20</v>
      </c>
      <c r="AB27" s="82">
        <f>182880-182800</f>
        <v>80</v>
      </c>
      <c r="AC27" s="83"/>
    </row>
    <row r="28" spans="2:31" ht="51.75" customHeight="1" x14ac:dyDescent="0.25">
      <c r="B28" s="21"/>
      <c r="C28" s="12" t="s">
        <v>87</v>
      </c>
      <c r="D28" s="51"/>
      <c r="E28" s="51"/>
      <c r="F28" s="45"/>
      <c r="G28" s="45"/>
      <c r="H28" s="45">
        <v>116700</v>
      </c>
      <c r="I28" s="51">
        <f t="shared" si="21"/>
        <v>116700</v>
      </c>
      <c r="J28" s="60"/>
      <c r="K28" s="9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141">
        <v>116700</v>
      </c>
      <c r="W28" s="26"/>
      <c r="X28" s="147">
        <f t="shared" si="8"/>
        <v>0</v>
      </c>
      <c r="Y28" s="45"/>
      <c r="Z28" s="45"/>
      <c r="AA28" s="124">
        <f t="shared" si="9"/>
        <v>0</v>
      </c>
      <c r="AB28" s="82"/>
      <c r="AC28" s="83"/>
    </row>
    <row r="29" spans="2:31" ht="78.75" customHeight="1" x14ac:dyDescent="0.25">
      <c r="B29" s="21"/>
      <c r="C29" s="12" t="s">
        <v>79</v>
      </c>
      <c r="D29" s="51"/>
      <c r="E29" s="51"/>
      <c r="F29" s="45">
        <v>700000</v>
      </c>
      <c r="G29" s="45"/>
      <c r="H29" s="45">
        <v>655400</v>
      </c>
      <c r="I29" s="51">
        <f t="shared" si="21"/>
        <v>645400</v>
      </c>
      <c r="J29" s="60">
        <f t="shared" si="11"/>
        <v>0.92200000000000004</v>
      </c>
      <c r="K29" s="9"/>
      <c r="L29" s="26"/>
      <c r="M29" s="26"/>
      <c r="N29" s="26"/>
      <c r="O29" s="26"/>
      <c r="P29" s="26">
        <f>167640+18818.68</f>
        <v>186458.68</v>
      </c>
      <c r="Q29" s="26">
        <f>36726.08+365760</f>
        <v>402486.08</v>
      </c>
      <c r="R29" s="26"/>
      <c r="S29" s="26"/>
      <c r="T29" s="26"/>
      <c r="U29" s="26"/>
      <c r="V29" s="141">
        <f>645400-588944.76</f>
        <v>56455.239999999991</v>
      </c>
      <c r="W29" s="26"/>
      <c r="X29" s="147">
        <f t="shared" si="8"/>
        <v>10000</v>
      </c>
      <c r="Y29" s="45">
        <v>645400</v>
      </c>
      <c r="Z29" s="45"/>
      <c r="AA29" s="124">
        <f t="shared" si="9"/>
        <v>10000</v>
      </c>
      <c r="AB29" s="82">
        <v>0</v>
      </c>
      <c r="AC29" s="83"/>
      <c r="AD29" s="2">
        <v>10000</v>
      </c>
    </row>
    <row r="30" spans="2:31" ht="25.5" customHeight="1" x14ac:dyDescent="0.25">
      <c r="B30" s="66" t="s">
        <v>26</v>
      </c>
      <c r="C30" s="92" t="s">
        <v>27</v>
      </c>
      <c r="D30" s="68"/>
      <c r="E30" s="68"/>
      <c r="F30" s="69">
        <f>F31+F32+F33</f>
        <v>1650000</v>
      </c>
      <c r="G30" s="69"/>
      <c r="H30" s="69">
        <f>SUM(H31:H33)</f>
        <v>1650000</v>
      </c>
      <c r="I30" s="68">
        <f>SUM(I31:I33)</f>
        <v>1618228.5</v>
      </c>
      <c r="J30" s="96">
        <f t="shared" si="11"/>
        <v>0.98074454545454548</v>
      </c>
      <c r="K30" s="97">
        <f>SUM(K31:K33)</f>
        <v>110836</v>
      </c>
      <c r="L30" s="97">
        <f t="shared" ref="L30:W30" si="22">SUM(L31:L33)</f>
        <v>136312</v>
      </c>
      <c r="M30" s="97">
        <f t="shared" si="22"/>
        <v>153692</v>
      </c>
      <c r="N30" s="97">
        <f t="shared" si="22"/>
        <v>151272</v>
      </c>
      <c r="O30" s="97">
        <f t="shared" si="22"/>
        <v>146872</v>
      </c>
      <c r="P30" s="97">
        <f t="shared" si="22"/>
        <v>153484</v>
      </c>
      <c r="Q30" s="97">
        <f t="shared" si="22"/>
        <v>160354</v>
      </c>
      <c r="R30" s="97">
        <f t="shared" si="22"/>
        <v>145002.5</v>
      </c>
      <c r="S30" s="97">
        <f t="shared" si="22"/>
        <v>5699</v>
      </c>
      <c r="T30" s="97">
        <f t="shared" si="22"/>
        <v>0</v>
      </c>
      <c r="U30" s="97">
        <f t="shared" si="22"/>
        <v>0</v>
      </c>
      <c r="V30" s="138">
        <f t="shared" si="22"/>
        <v>454705</v>
      </c>
      <c r="W30" s="97">
        <f t="shared" si="22"/>
        <v>0</v>
      </c>
      <c r="X30" s="149">
        <f t="shared" si="8"/>
        <v>31771.5</v>
      </c>
      <c r="Y30" s="106"/>
      <c r="Z30" s="106"/>
      <c r="AA30" s="125">
        <f>SUM(AA31:AA33)</f>
        <v>31771.5</v>
      </c>
      <c r="AB30" s="107"/>
      <c r="AC30" s="108"/>
    </row>
    <row r="31" spans="2:31" ht="38.25" customHeight="1" x14ac:dyDescent="0.25">
      <c r="B31" s="8"/>
      <c r="C31" s="12" t="s">
        <v>60</v>
      </c>
      <c r="D31" s="9"/>
      <c r="E31" s="9"/>
      <c r="F31" s="22">
        <v>1550000</v>
      </c>
      <c r="G31" s="22"/>
      <c r="H31" s="22">
        <v>1550000</v>
      </c>
      <c r="I31" s="51">
        <f t="shared" si="6"/>
        <v>1531620</v>
      </c>
      <c r="J31" s="60">
        <f t="shared" si="11"/>
        <v>0.98814193548387097</v>
      </c>
      <c r="K31" s="9">
        <v>110836</v>
      </c>
      <c r="L31" s="26">
        <v>136312</v>
      </c>
      <c r="M31" s="10">
        <v>153692</v>
      </c>
      <c r="N31" s="10">
        <v>151272</v>
      </c>
      <c r="O31" s="10">
        <v>146872</v>
      </c>
      <c r="P31" s="10">
        <v>141724</v>
      </c>
      <c r="Q31" s="10">
        <v>150854</v>
      </c>
      <c r="R31" s="10">
        <v>138028</v>
      </c>
      <c r="S31" s="10"/>
      <c r="T31" s="10"/>
      <c r="U31" s="10"/>
      <c r="V31" s="142">
        <f>H31-1129590-18380</f>
        <v>402030</v>
      </c>
      <c r="W31" s="10"/>
      <c r="X31" s="147">
        <f t="shared" si="8"/>
        <v>18380</v>
      </c>
      <c r="Y31" s="22"/>
      <c r="Z31" s="22"/>
      <c r="AA31" s="124">
        <f t="shared" si="9"/>
        <v>18380</v>
      </c>
      <c r="AB31" s="80"/>
      <c r="AC31" s="81"/>
    </row>
    <row r="32" spans="2:31" ht="69.75" customHeight="1" x14ac:dyDescent="0.25">
      <c r="B32" s="8"/>
      <c r="C32" s="12" t="s">
        <v>61</v>
      </c>
      <c r="D32" s="9"/>
      <c r="E32" s="9"/>
      <c r="F32" s="22">
        <v>65000</v>
      </c>
      <c r="G32" s="22"/>
      <c r="H32" s="22">
        <v>65000</v>
      </c>
      <c r="I32" s="51">
        <f t="shared" si="6"/>
        <v>52574.5</v>
      </c>
      <c r="J32" s="60">
        <f t="shared" si="11"/>
        <v>0.80883846153846151</v>
      </c>
      <c r="K32" s="9"/>
      <c r="L32" s="26"/>
      <c r="M32" s="10"/>
      <c r="N32" s="14"/>
      <c r="O32" s="20"/>
      <c r="P32" s="10">
        <v>11760</v>
      </c>
      <c r="Q32" s="14"/>
      <c r="R32" s="14">
        <v>1274.5</v>
      </c>
      <c r="S32" s="14">
        <v>5699</v>
      </c>
      <c r="T32" s="14"/>
      <c r="U32" s="14"/>
      <c r="V32" s="140">
        <f>52574.5-18733.5</f>
        <v>33841</v>
      </c>
      <c r="W32" s="14"/>
      <c r="X32" s="147">
        <f t="shared" si="8"/>
        <v>12425.5</v>
      </c>
      <c r="Y32" s="22">
        <f>40814.5+11760</f>
        <v>52574.5</v>
      </c>
      <c r="Z32" s="22"/>
      <c r="AA32" s="124">
        <f t="shared" si="9"/>
        <v>12425.5</v>
      </c>
      <c r="AB32" s="80"/>
      <c r="AC32" s="81"/>
      <c r="AD32" s="2">
        <v>12000</v>
      </c>
    </row>
    <row r="33" spans="2:30" ht="94.5" customHeight="1" x14ac:dyDescent="0.25">
      <c r="B33" s="21"/>
      <c r="C33" s="12" t="s">
        <v>62</v>
      </c>
      <c r="D33" s="9"/>
      <c r="E33" s="9"/>
      <c r="F33" s="22">
        <v>35000</v>
      </c>
      <c r="G33" s="22"/>
      <c r="H33" s="22">
        <v>35000</v>
      </c>
      <c r="I33" s="51">
        <f t="shared" si="6"/>
        <v>34034</v>
      </c>
      <c r="J33" s="60">
        <f t="shared" si="11"/>
        <v>0.97240000000000004</v>
      </c>
      <c r="K33" s="9"/>
      <c r="L33" s="26"/>
      <c r="M33" s="23"/>
      <c r="N33" s="14"/>
      <c r="O33" s="20"/>
      <c r="P33" s="23"/>
      <c r="Q33" s="14">
        <v>9500</v>
      </c>
      <c r="R33" s="14">
        <v>5700</v>
      </c>
      <c r="S33" s="14"/>
      <c r="T33" s="14"/>
      <c r="U33" s="14"/>
      <c r="V33" s="140">
        <f>34034-15200</f>
        <v>18834</v>
      </c>
      <c r="W33" s="14"/>
      <c r="X33" s="147">
        <f t="shared" si="8"/>
        <v>966</v>
      </c>
      <c r="Y33" s="22"/>
      <c r="Z33" s="22"/>
      <c r="AA33" s="124">
        <f t="shared" si="9"/>
        <v>966</v>
      </c>
      <c r="AB33" s="80"/>
      <c r="AC33" s="81"/>
    </row>
    <row r="34" spans="2:30" ht="42.75" customHeight="1" x14ac:dyDescent="0.25">
      <c r="B34" s="66" t="s">
        <v>28</v>
      </c>
      <c r="C34" s="104" t="s">
        <v>29</v>
      </c>
      <c r="D34" s="97"/>
      <c r="E34" s="97"/>
      <c r="F34" s="95">
        <v>270000</v>
      </c>
      <c r="G34" s="95"/>
      <c r="H34" s="95">
        <v>270000</v>
      </c>
      <c r="I34" s="68">
        <f>SUM(K34:W34)</f>
        <v>270000</v>
      </c>
      <c r="J34" s="96">
        <f t="shared" si="11"/>
        <v>1</v>
      </c>
      <c r="K34" s="97">
        <v>22500</v>
      </c>
      <c r="L34" s="109">
        <v>22500</v>
      </c>
      <c r="M34" s="110">
        <v>22500</v>
      </c>
      <c r="N34" s="110">
        <v>22500</v>
      </c>
      <c r="O34" s="110">
        <v>22500</v>
      </c>
      <c r="P34" s="110">
        <v>22500</v>
      </c>
      <c r="Q34" s="110">
        <v>22500</v>
      </c>
      <c r="R34" s="110">
        <v>22500</v>
      </c>
      <c r="S34" s="110"/>
      <c r="T34" s="110"/>
      <c r="U34" s="110"/>
      <c r="V34" s="143">
        <f>22500*4</f>
        <v>90000</v>
      </c>
      <c r="W34" s="110"/>
      <c r="X34" s="148">
        <f t="shared" si="8"/>
        <v>0</v>
      </c>
      <c r="Y34" s="98"/>
      <c r="Z34" s="98"/>
      <c r="AA34" s="102">
        <v>0</v>
      </c>
      <c r="AB34" s="100"/>
      <c r="AC34" s="105"/>
    </row>
    <row r="35" spans="2:30" ht="32.25" customHeight="1" x14ac:dyDescent="0.25">
      <c r="B35" s="66" t="s">
        <v>30</v>
      </c>
      <c r="C35" s="104" t="s">
        <v>31</v>
      </c>
      <c r="D35" s="94"/>
      <c r="E35" s="94"/>
      <c r="F35" s="95">
        <f>F36+F37+F44</f>
        <v>1240000</v>
      </c>
      <c r="G35" s="95"/>
      <c r="H35" s="95">
        <v>1240000</v>
      </c>
      <c r="I35" s="68">
        <f>I36+I37</f>
        <v>850381.14</v>
      </c>
      <c r="J35" s="96">
        <f>I35/F35</f>
        <v>0.68579124193548391</v>
      </c>
      <c r="K35" s="97">
        <f>K36+K37</f>
        <v>43241.88</v>
      </c>
      <c r="L35" s="97">
        <f t="shared" ref="L35:W35" si="23">L36+L37</f>
        <v>66756.25</v>
      </c>
      <c r="M35" s="97">
        <f t="shared" si="23"/>
        <v>69842.78</v>
      </c>
      <c r="N35" s="97">
        <f t="shared" si="23"/>
        <v>66679.94</v>
      </c>
      <c r="O35" s="97">
        <f t="shared" si="23"/>
        <v>65512.95</v>
      </c>
      <c r="P35" s="97">
        <f t="shared" si="23"/>
        <v>64159.99</v>
      </c>
      <c r="Q35" s="97">
        <f t="shared" si="23"/>
        <v>64808.05</v>
      </c>
      <c r="R35" s="97">
        <f t="shared" si="23"/>
        <v>64032.3</v>
      </c>
      <c r="S35" s="97">
        <f>S36+S37</f>
        <v>15700</v>
      </c>
      <c r="T35" s="97">
        <f t="shared" si="23"/>
        <v>0</v>
      </c>
      <c r="U35" s="97">
        <f t="shared" si="23"/>
        <v>0</v>
      </c>
      <c r="V35" s="138">
        <f t="shared" si="23"/>
        <v>329647</v>
      </c>
      <c r="W35" s="97">
        <f t="shared" si="23"/>
        <v>0</v>
      </c>
      <c r="X35" s="148">
        <f t="shared" si="8"/>
        <v>389618.86</v>
      </c>
      <c r="Y35" s="98"/>
      <c r="Z35" s="98"/>
      <c r="AA35" s="125">
        <f>AA36+AA37</f>
        <v>389618.86</v>
      </c>
      <c r="AB35" s="100"/>
      <c r="AC35" s="112"/>
    </row>
    <row r="36" spans="2:30" ht="34.5" customHeight="1" x14ac:dyDescent="0.25">
      <c r="B36" s="8"/>
      <c r="C36" s="12" t="s">
        <v>63</v>
      </c>
      <c r="D36" s="9"/>
      <c r="E36" s="9"/>
      <c r="F36" s="22">
        <v>37800</v>
      </c>
      <c r="G36" s="22"/>
      <c r="H36" s="22">
        <v>37800</v>
      </c>
      <c r="I36" s="51">
        <f t="shared" si="6"/>
        <v>37800</v>
      </c>
      <c r="J36" s="60">
        <f t="shared" si="11"/>
        <v>1</v>
      </c>
      <c r="K36" s="9">
        <v>3150</v>
      </c>
      <c r="L36" s="9">
        <v>3150</v>
      </c>
      <c r="M36" s="26">
        <v>3150</v>
      </c>
      <c r="N36" s="14">
        <v>3150</v>
      </c>
      <c r="O36" s="14">
        <v>3150</v>
      </c>
      <c r="P36" s="14">
        <v>3150</v>
      </c>
      <c r="Q36" s="14">
        <v>3150</v>
      </c>
      <c r="R36" s="14">
        <v>3150</v>
      </c>
      <c r="S36" s="14"/>
      <c r="T36" s="14"/>
      <c r="U36" s="14"/>
      <c r="V36" s="140">
        <f>3150*4</f>
        <v>12600</v>
      </c>
      <c r="W36" s="14"/>
      <c r="X36" s="147">
        <f t="shared" si="8"/>
        <v>0</v>
      </c>
      <c r="Y36" s="22"/>
      <c r="Z36" s="22"/>
      <c r="AA36" s="126">
        <f t="shared" si="9"/>
        <v>0</v>
      </c>
      <c r="AB36" s="80"/>
      <c r="AC36" s="81"/>
    </row>
    <row r="37" spans="2:30" ht="32.25" customHeight="1" x14ac:dyDescent="0.25">
      <c r="B37" s="8"/>
      <c r="C37" s="12" t="s">
        <v>64</v>
      </c>
      <c r="D37" s="9"/>
      <c r="E37" s="9"/>
      <c r="F37" s="22">
        <f>1202200</f>
        <v>1202200</v>
      </c>
      <c r="G37" s="22"/>
      <c r="H37" s="22">
        <v>1202200</v>
      </c>
      <c r="I37" s="51">
        <f>I38+I44</f>
        <v>812581.14</v>
      </c>
      <c r="J37" s="60">
        <f t="shared" si="11"/>
        <v>0.67591177840625516</v>
      </c>
      <c r="K37" s="9">
        <f>K38+K44</f>
        <v>40091.879999999997</v>
      </c>
      <c r="L37" s="9">
        <f t="shared" ref="L37:W37" si="24">L38+L44</f>
        <v>63606.25</v>
      </c>
      <c r="M37" s="9">
        <f t="shared" si="24"/>
        <v>66692.78</v>
      </c>
      <c r="N37" s="9">
        <f t="shared" si="24"/>
        <v>63529.94</v>
      </c>
      <c r="O37" s="9">
        <f t="shared" si="24"/>
        <v>62362.95</v>
      </c>
      <c r="P37" s="9">
        <f t="shared" si="24"/>
        <v>61009.99</v>
      </c>
      <c r="Q37" s="9">
        <f t="shared" si="24"/>
        <v>61658.05</v>
      </c>
      <c r="R37" s="9">
        <f t="shared" si="24"/>
        <v>60882.3</v>
      </c>
      <c r="S37" s="9">
        <f t="shared" si="24"/>
        <v>15700</v>
      </c>
      <c r="T37" s="9">
        <f t="shared" si="24"/>
        <v>0</v>
      </c>
      <c r="U37" s="9">
        <f t="shared" si="24"/>
        <v>0</v>
      </c>
      <c r="V37" s="137">
        <f t="shared" si="24"/>
        <v>317047</v>
      </c>
      <c r="W37" s="9">
        <f t="shared" si="24"/>
        <v>0</v>
      </c>
      <c r="X37" s="147">
        <f t="shared" si="8"/>
        <v>389618.86</v>
      </c>
      <c r="Y37" s="22"/>
      <c r="Z37" s="22"/>
      <c r="AA37" s="126">
        <f t="shared" si="9"/>
        <v>389618.86</v>
      </c>
      <c r="AB37" s="80"/>
      <c r="AC37" s="81"/>
      <c r="AD37" s="2">
        <v>350000</v>
      </c>
    </row>
    <row r="38" spans="2:30" ht="48.75" customHeight="1" x14ac:dyDescent="0.25">
      <c r="B38" s="8"/>
      <c r="C38" s="24" t="s">
        <v>65</v>
      </c>
      <c r="D38" s="9"/>
      <c r="E38" s="9"/>
      <c r="F38" s="22"/>
      <c r="G38" s="22"/>
      <c r="H38" s="22"/>
      <c r="I38" s="51">
        <f>SUM(I39:I43)</f>
        <v>352585.14</v>
      </c>
      <c r="J38" s="60"/>
      <c r="K38" s="9">
        <f>SUM(K39:K43)</f>
        <v>1758.88</v>
      </c>
      <c r="L38" s="9">
        <f t="shared" ref="L38:W38" si="25">SUM(L39:L43)</f>
        <v>25273.25</v>
      </c>
      <c r="M38" s="9">
        <f t="shared" si="25"/>
        <v>28359.780000000002</v>
      </c>
      <c r="N38" s="9">
        <f t="shared" si="25"/>
        <v>25196.94</v>
      </c>
      <c r="O38" s="9">
        <f t="shared" si="25"/>
        <v>24029.95</v>
      </c>
      <c r="P38" s="9">
        <f t="shared" si="25"/>
        <v>22676.989999999998</v>
      </c>
      <c r="Q38" s="9">
        <f t="shared" si="25"/>
        <v>23325.05</v>
      </c>
      <c r="R38" s="9">
        <f t="shared" si="25"/>
        <v>22549.3</v>
      </c>
      <c r="S38" s="9">
        <f t="shared" si="25"/>
        <v>15700</v>
      </c>
      <c r="T38" s="9">
        <f t="shared" si="25"/>
        <v>0</v>
      </c>
      <c r="U38" s="9">
        <f t="shared" si="25"/>
        <v>0</v>
      </c>
      <c r="V38" s="137">
        <f t="shared" si="25"/>
        <v>163715</v>
      </c>
      <c r="W38" s="9">
        <f t="shared" si="25"/>
        <v>0</v>
      </c>
      <c r="X38" s="147"/>
      <c r="Y38" s="22"/>
      <c r="Z38" s="22"/>
      <c r="AA38" s="126"/>
      <c r="AB38" s="80"/>
      <c r="AC38" s="81"/>
    </row>
    <row r="39" spans="2:30" ht="21.75" customHeight="1" x14ac:dyDescent="0.25">
      <c r="B39" s="8"/>
      <c r="C39" s="24" t="s">
        <v>43</v>
      </c>
      <c r="D39" s="9"/>
      <c r="E39" s="9"/>
      <c r="F39" s="22"/>
      <c r="G39" s="22"/>
      <c r="H39" s="22"/>
      <c r="I39" s="51">
        <f t="shared" ref="I39:I44" si="26">SUM(K39:W39)</f>
        <v>195202.07</v>
      </c>
      <c r="J39" s="60"/>
      <c r="K39" s="9"/>
      <c r="L39" s="9">
        <v>18200</v>
      </c>
      <c r="M39" s="26">
        <v>18503.810000000001</v>
      </c>
      <c r="N39" s="14">
        <v>16970.48</v>
      </c>
      <c r="O39" s="14">
        <v>16280</v>
      </c>
      <c r="P39" s="9">
        <v>15527.78</v>
      </c>
      <c r="Q39" s="14">
        <v>15240</v>
      </c>
      <c r="R39" s="14">
        <v>15240</v>
      </c>
      <c r="S39" s="14">
        <v>15240</v>
      </c>
      <c r="T39" s="14"/>
      <c r="U39" s="14"/>
      <c r="V39" s="140">
        <f>16000*4</f>
        <v>64000</v>
      </c>
      <c r="W39" s="14"/>
      <c r="X39" s="147"/>
      <c r="Y39" s="22"/>
      <c r="Z39" s="22"/>
      <c r="AA39" s="126"/>
      <c r="AB39" s="80"/>
      <c r="AC39" s="81"/>
    </row>
    <row r="40" spans="2:30" ht="21.75" customHeight="1" x14ac:dyDescent="0.25">
      <c r="B40" s="8"/>
      <c r="C40" s="24" t="s">
        <v>44</v>
      </c>
      <c r="D40" s="9"/>
      <c r="E40" s="9"/>
      <c r="F40" s="22"/>
      <c r="G40" s="22"/>
      <c r="H40" s="22"/>
      <c r="I40" s="51">
        <f t="shared" si="26"/>
        <v>50251</v>
      </c>
      <c r="J40" s="60"/>
      <c r="K40" s="9">
        <v>1751</v>
      </c>
      <c r="L40" s="26">
        <v>2590</v>
      </c>
      <c r="M40" s="14">
        <v>3120</v>
      </c>
      <c r="N40" s="14">
        <v>4740</v>
      </c>
      <c r="O40" s="14">
        <v>4230</v>
      </c>
      <c r="P40" s="14">
        <v>4050</v>
      </c>
      <c r="Q40" s="14">
        <v>4690</v>
      </c>
      <c r="R40" s="14">
        <v>4420</v>
      </c>
      <c r="S40" s="14"/>
      <c r="T40" s="14"/>
      <c r="U40" s="14"/>
      <c r="V40" s="140">
        <f>48500-27840</f>
        <v>20660</v>
      </c>
      <c r="W40" s="14"/>
      <c r="X40" s="147"/>
      <c r="Y40" s="22">
        <f>53000-4500</f>
        <v>48500</v>
      </c>
      <c r="Z40" s="22"/>
      <c r="AA40" s="126"/>
      <c r="AB40" s="80"/>
      <c r="AC40" s="81"/>
    </row>
    <row r="41" spans="2:30" ht="21.75" customHeight="1" x14ac:dyDescent="0.25">
      <c r="B41" s="8"/>
      <c r="C41" s="24" t="s">
        <v>45</v>
      </c>
      <c r="D41" s="9"/>
      <c r="E41" s="9"/>
      <c r="F41" s="22"/>
      <c r="G41" s="22"/>
      <c r="H41" s="22"/>
      <c r="I41" s="51">
        <f t="shared" si="26"/>
        <v>35678.019999999997</v>
      </c>
      <c r="J41" s="60"/>
      <c r="K41" s="9">
        <v>7.88</v>
      </c>
      <c r="L41" s="26">
        <v>3808.25</v>
      </c>
      <c r="M41" s="14">
        <v>3578.42</v>
      </c>
      <c r="N41" s="14">
        <v>2871.46</v>
      </c>
      <c r="O41" s="14">
        <v>2509.9499999999998</v>
      </c>
      <c r="P41" s="14">
        <v>2739.21</v>
      </c>
      <c r="Q41" s="14">
        <v>2406.0500000000002</v>
      </c>
      <c r="R41" s="14">
        <v>2756.8</v>
      </c>
      <c r="S41" s="14"/>
      <c r="T41" s="14"/>
      <c r="U41" s="14"/>
      <c r="V41" s="140">
        <f>3000*5</f>
        <v>15000</v>
      </c>
      <c r="W41" s="14"/>
      <c r="X41" s="147"/>
      <c r="Y41" s="22"/>
      <c r="Z41" s="22"/>
      <c r="AA41" s="126"/>
      <c r="AB41" s="80"/>
      <c r="AC41" s="81"/>
    </row>
    <row r="42" spans="2:30" ht="21.75" customHeight="1" x14ac:dyDescent="0.25">
      <c r="B42" s="8"/>
      <c r="C42" s="24" t="s">
        <v>46</v>
      </c>
      <c r="D42" s="9"/>
      <c r="E42" s="9"/>
      <c r="F42" s="22"/>
      <c r="G42" s="22"/>
      <c r="H42" s="22"/>
      <c r="I42" s="51">
        <f t="shared" si="26"/>
        <v>12799.05</v>
      </c>
      <c r="J42" s="60"/>
      <c r="K42" s="9"/>
      <c r="L42" s="26">
        <v>675</v>
      </c>
      <c r="M42" s="14">
        <v>3157.55</v>
      </c>
      <c r="N42" s="14">
        <v>615</v>
      </c>
      <c r="O42" s="14">
        <v>1010</v>
      </c>
      <c r="P42" s="14">
        <v>360</v>
      </c>
      <c r="Q42" s="14">
        <v>989</v>
      </c>
      <c r="R42" s="14">
        <v>132.5</v>
      </c>
      <c r="S42" s="14">
        <f>300+160</f>
        <v>460</v>
      </c>
      <c r="T42" s="14"/>
      <c r="U42" s="14"/>
      <c r="V42" s="140">
        <f>12800-7400</f>
        <v>5400</v>
      </c>
      <c r="W42" s="14"/>
      <c r="X42" s="147"/>
      <c r="Y42" s="22"/>
      <c r="Z42" s="22"/>
      <c r="AA42" s="126"/>
      <c r="AB42" s="80"/>
      <c r="AC42" s="81"/>
    </row>
    <row r="43" spans="2:30" ht="21.75" customHeight="1" x14ac:dyDescent="0.25">
      <c r="B43" s="8"/>
      <c r="C43" s="24" t="s">
        <v>42</v>
      </c>
      <c r="D43" s="9"/>
      <c r="E43" s="9"/>
      <c r="F43" s="22"/>
      <c r="G43" s="22"/>
      <c r="H43" s="22"/>
      <c r="I43" s="51">
        <f t="shared" si="26"/>
        <v>58655</v>
      </c>
      <c r="J43" s="60"/>
      <c r="K43" s="9"/>
      <c r="L43" s="26"/>
      <c r="M43" s="14"/>
      <c r="N43" s="14"/>
      <c r="O43" s="14"/>
      <c r="P43" s="14"/>
      <c r="Q43" s="14"/>
      <c r="R43" s="14"/>
      <c r="S43" s="14"/>
      <c r="T43" s="14"/>
      <c r="U43" s="14"/>
      <c r="V43" s="140">
        <f>37585+21070</f>
        <v>58655</v>
      </c>
      <c r="W43" s="14"/>
      <c r="X43" s="147"/>
      <c r="Y43" s="22"/>
      <c r="Z43" s="22"/>
      <c r="AA43" s="126"/>
      <c r="AB43" s="80"/>
      <c r="AC43" s="81"/>
    </row>
    <row r="44" spans="2:30" ht="33.75" customHeight="1" x14ac:dyDescent="0.25">
      <c r="B44" s="8"/>
      <c r="C44" s="24" t="s">
        <v>66</v>
      </c>
      <c r="D44" s="9"/>
      <c r="E44" s="9"/>
      <c r="F44" s="22"/>
      <c r="G44" s="22"/>
      <c r="H44" s="22"/>
      <c r="I44" s="51">
        <f t="shared" si="26"/>
        <v>459996</v>
      </c>
      <c r="J44" s="60" t="e">
        <f t="shared" si="11"/>
        <v>#DIV/0!</v>
      </c>
      <c r="K44" s="9">
        <v>38333</v>
      </c>
      <c r="L44" s="9">
        <v>38333</v>
      </c>
      <c r="M44" s="14">
        <v>38333</v>
      </c>
      <c r="N44" s="14">
        <v>38333</v>
      </c>
      <c r="O44" s="14">
        <v>38333</v>
      </c>
      <c r="P44" s="14">
        <v>38333</v>
      </c>
      <c r="Q44" s="14">
        <v>38333</v>
      </c>
      <c r="R44" s="14">
        <v>38333</v>
      </c>
      <c r="S44" s="14"/>
      <c r="T44" s="14"/>
      <c r="U44" s="14"/>
      <c r="V44" s="140">
        <f>38333*4</f>
        <v>153332</v>
      </c>
      <c r="W44" s="14"/>
      <c r="X44" s="147"/>
      <c r="Y44" s="22"/>
      <c r="Z44" s="22"/>
      <c r="AA44" s="126"/>
      <c r="AB44" s="80"/>
      <c r="AC44" s="81"/>
    </row>
    <row r="45" spans="2:30" ht="30" customHeight="1" x14ac:dyDescent="0.25">
      <c r="B45" s="113" t="s">
        <v>32</v>
      </c>
      <c r="C45" s="114" t="s">
        <v>33</v>
      </c>
      <c r="D45" s="115"/>
      <c r="E45" s="115"/>
      <c r="F45" s="111">
        <f>F46+F47</f>
        <v>900000</v>
      </c>
      <c r="G45" s="111"/>
      <c r="H45" s="111">
        <v>900000</v>
      </c>
      <c r="I45" s="116">
        <f>I46+I47</f>
        <v>760476.89999999991</v>
      </c>
      <c r="J45" s="117">
        <f t="shared" si="11"/>
        <v>0.84497433333333327</v>
      </c>
      <c r="K45" s="118">
        <f>K46+K47</f>
        <v>35292.800000000003</v>
      </c>
      <c r="L45" s="118">
        <f t="shared" ref="L45:W45" si="27">L46+L47</f>
        <v>42136.84</v>
      </c>
      <c r="M45" s="118">
        <f t="shared" si="27"/>
        <v>42189.88</v>
      </c>
      <c r="N45" s="118">
        <f t="shared" si="27"/>
        <v>50813.89</v>
      </c>
      <c r="O45" s="118">
        <f t="shared" si="27"/>
        <v>52561.35</v>
      </c>
      <c r="P45" s="118">
        <f t="shared" si="27"/>
        <v>95850.68</v>
      </c>
      <c r="Q45" s="118">
        <f t="shared" si="27"/>
        <v>58212.02</v>
      </c>
      <c r="R45" s="118">
        <f t="shared" si="27"/>
        <v>105378.47</v>
      </c>
      <c r="S45" s="118">
        <f t="shared" si="27"/>
        <v>0</v>
      </c>
      <c r="T45" s="118">
        <f t="shared" si="27"/>
        <v>0</v>
      </c>
      <c r="U45" s="118">
        <f t="shared" si="27"/>
        <v>0</v>
      </c>
      <c r="V45" s="138">
        <f t="shared" si="27"/>
        <v>278040.96999999997</v>
      </c>
      <c r="W45" s="118">
        <f t="shared" si="27"/>
        <v>0</v>
      </c>
      <c r="X45" s="148">
        <f t="shared" si="8"/>
        <v>139523.10000000009</v>
      </c>
      <c r="Y45" s="111"/>
      <c r="Z45" s="111"/>
      <c r="AA45" s="125">
        <f>SUM(AA46:AA47)</f>
        <v>65873.660000000033</v>
      </c>
      <c r="AB45" s="129">
        <f>SUM(AB46:AB47)</f>
        <v>73649.440000000002</v>
      </c>
      <c r="AC45" s="119"/>
    </row>
    <row r="46" spans="2:30" ht="42" customHeight="1" x14ac:dyDescent="0.25">
      <c r="B46" s="8"/>
      <c r="C46" s="35" t="s">
        <v>34</v>
      </c>
      <c r="D46" s="9"/>
      <c r="E46" s="9"/>
      <c r="F46" s="22">
        <f>900000-F47</f>
        <v>710000</v>
      </c>
      <c r="G46" s="22"/>
      <c r="H46" s="22">
        <v>710000</v>
      </c>
      <c r="I46" s="51">
        <f t="shared" si="6"/>
        <v>654304.34</v>
      </c>
      <c r="J46" s="60">
        <f t="shared" si="11"/>
        <v>0.92155540845070416</v>
      </c>
      <c r="K46" s="9">
        <v>35292.800000000003</v>
      </c>
      <c r="L46" s="9">
        <v>42136.84</v>
      </c>
      <c r="M46" s="9">
        <v>42189.88</v>
      </c>
      <c r="N46" s="14">
        <v>50813.89</v>
      </c>
      <c r="O46" s="14">
        <v>52561.35</v>
      </c>
      <c r="P46" s="14">
        <v>42528.68</v>
      </c>
      <c r="Q46" s="14">
        <v>58212.02</v>
      </c>
      <c r="R46" s="14">
        <v>67082.87</v>
      </c>
      <c r="S46" s="14"/>
      <c r="T46" s="14"/>
      <c r="U46" s="14"/>
      <c r="V46" s="140">
        <f>654304.34-390818.33</f>
        <v>263486.00999999995</v>
      </c>
      <c r="W46" s="14"/>
      <c r="X46" s="147">
        <f t="shared" si="8"/>
        <v>55695.660000000033</v>
      </c>
      <c r="Y46" s="22"/>
      <c r="Z46" s="22"/>
      <c r="AA46" s="126">
        <f t="shared" si="9"/>
        <v>55695.660000000033</v>
      </c>
      <c r="AB46" s="80"/>
      <c r="AC46" s="81"/>
      <c r="AD46" s="2">
        <v>20000</v>
      </c>
    </row>
    <row r="47" spans="2:30" ht="51" customHeight="1" x14ac:dyDescent="0.25">
      <c r="B47" s="8"/>
      <c r="C47" s="12" t="s">
        <v>35</v>
      </c>
      <c r="D47" s="9"/>
      <c r="E47" s="9"/>
      <c r="F47" s="22">
        <v>190000</v>
      </c>
      <c r="G47" s="22"/>
      <c r="H47" s="22">
        <v>190000</v>
      </c>
      <c r="I47" s="51">
        <f>SUM(K47:W47)</f>
        <v>106172.56</v>
      </c>
      <c r="J47" s="60">
        <f t="shared" si="11"/>
        <v>0.55880294736842107</v>
      </c>
      <c r="K47" s="9">
        <f>K48+K49</f>
        <v>0</v>
      </c>
      <c r="L47" s="9">
        <f t="shared" ref="L47:W47" si="28">L48+L49</f>
        <v>0</v>
      </c>
      <c r="M47" s="9">
        <f t="shared" si="28"/>
        <v>0</v>
      </c>
      <c r="N47" s="9">
        <f t="shared" si="28"/>
        <v>0</v>
      </c>
      <c r="O47" s="9">
        <f t="shared" si="28"/>
        <v>0</v>
      </c>
      <c r="P47" s="9">
        <f t="shared" si="28"/>
        <v>53322</v>
      </c>
      <c r="Q47" s="9">
        <f t="shared" si="28"/>
        <v>0</v>
      </c>
      <c r="R47" s="9">
        <f t="shared" si="28"/>
        <v>38295.599999999999</v>
      </c>
      <c r="S47" s="9">
        <f t="shared" si="28"/>
        <v>0</v>
      </c>
      <c r="T47" s="9">
        <f t="shared" si="28"/>
        <v>0</v>
      </c>
      <c r="U47" s="9">
        <f t="shared" si="28"/>
        <v>0</v>
      </c>
      <c r="V47" s="137">
        <f t="shared" si="28"/>
        <v>14554.96</v>
      </c>
      <c r="W47" s="9">
        <f t="shared" si="28"/>
        <v>0</v>
      </c>
      <c r="X47" s="147">
        <f t="shared" si="8"/>
        <v>83827.44</v>
      </c>
      <c r="Y47" s="22"/>
      <c r="Z47" s="22"/>
      <c r="AA47" s="126">
        <f t="shared" si="9"/>
        <v>10178</v>
      </c>
      <c r="AB47" s="80">
        <f>SUM(AB48:AB49)</f>
        <v>73649.440000000002</v>
      </c>
      <c r="AC47" s="81"/>
      <c r="AD47" s="2">
        <v>10000</v>
      </c>
    </row>
    <row r="48" spans="2:30" ht="18.75" customHeight="1" x14ac:dyDescent="0.25">
      <c r="B48" s="21"/>
      <c r="C48" s="12" t="s">
        <v>41</v>
      </c>
      <c r="D48" s="9"/>
      <c r="E48" s="9"/>
      <c r="F48" s="22"/>
      <c r="G48" s="22"/>
      <c r="H48" s="22"/>
      <c r="I48" s="51">
        <f t="shared" ref="I48:I49" si="29">SUM(K48:W48)</f>
        <v>76647.600000000006</v>
      </c>
      <c r="J48" s="60"/>
      <c r="K48" s="9"/>
      <c r="L48" s="33"/>
      <c r="M48" s="26"/>
      <c r="N48" s="33"/>
      <c r="O48" s="33"/>
      <c r="P48" s="26">
        <v>38352</v>
      </c>
      <c r="Q48" s="26"/>
      <c r="R48" s="26">
        <v>38295.599999999999</v>
      </c>
      <c r="S48" s="33"/>
      <c r="T48" s="26"/>
      <c r="U48" s="26"/>
      <c r="V48" s="141"/>
      <c r="W48" s="33"/>
      <c r="X48" s="147"/>
      <c r="Y48" s="22"/>
      <c r="Z48" s="22"/>
      <c r="AA48" s="126"/>
      <c r="AB48" s="80">
        <f>135900-76647.6</f>
        <v>59252.399999999994</v>
      </c>
      <c r="AC48" s="81"/>
    </row>
    <row r="49" spans="2:31" ht="18.75" customHeight="1" x14ac:dyDescent="0.25">
      <c r="B49" s="21"/>
      <c r="C49" s="12" t="s">
        <v>42</v>
      </c>
      <c r="D49" s="9"/>
      <c r="E49" s="9"/>
      <c r="F49" s="22"/>
      <c r="G49" s="22"/>
      <c r="H49" s="22"/>
      <c r="I49" s="51">
        <f t="shared" si="29"/>
        <v>29524.959999999999</v>
      </c>
      <c r="J49" s="60"/>
      <c r="K49" s="9"/>
      <c r="L49" s="33"/>
      <c r="M49" s="26"/>
      <c r="N49" s="33"/>
      <c r="O49" s="33"/>
      <c r="P49" s="26">
        <v>14970</v>
      </c>
      <c r="Q49" s="26"/>
      <c r="R49" s="33"/>
      <c r="S49" s="33"/>
      <c r="T49" s="26"/>
      <c r="U49" s="26"/>
      <c r="V49" s="141">
        <v>14554.96</v>
      </c>
      <c r="W49" s="33"/>
      <c r="X49" s="147"/>
      <c r="Y49" s="22"/>
      <c r="Z49" s="22"/>
      <c r="AA49" s="126"/>
      <c r="AB49" s="80">
        <f>43922-29524.96</f>
        <v>14397.04</v>
      </c>
      <c r="AC49" s="81"/>
    </row>
    <row r="50" spans="2:31" ht="33" customHeight="1" x14ac:dyDescent="0.25">
      <c r="B50" s="113" t="s">
        <v>36</v>
      </c>
      <c r="C50" s="114" t="s">
        <v>37</v>
      </c>
      <c r="D50" s="118"/>
      <c r="E50" s="118"/>
      <c r="F50" s="111">
        <f>F51+F55</f>
        <v>542000</v>
      </c>
      <c r="G50" s="111"/>
      <c r="H50" s="111">
        <f>H51+H55</f>
        <v>462000</v>
      </c>
      <c r="I50" s="116">
        <f>I51+I55</f>
        <v>362973</v>
      </c>
      <c r="J50" s="130">
        <f>I50/H50</f>
        <v>0.78565584415584411</v>
      </c>
      <c r="K50" s="118">
        <f>K51+K55</f>
        <v>4195</v>
      </c>
      <c r="L50" s="118">
        <f t="shared" ref="L50:W50" si="30">L51+L55</f>
        <v>4195</v>
      </c>
      <c r="M50" s="118">
        <f t="shared" si="30"/>
        <v>4195</v>
      </c>
      <c r="N50" s="118">
        <f t="shared" si="30"/>
        <v>22819.5</v>
      </c>
      <c r="O50" s="118">
        <f t="shared" si="30"/>
        <v>6595.5</v>
      </c>
      <c r="P50" s="118">
        <f>P51+P55</f>
        <v>19101</v>
      </c>
      <c r="Q50" s="118">
        <f>Q51+Q55</f>
        <v>50780</v>
      </c>
      <c r="R50" s="118">
        <f t="shared" si="30"/>
        <v>74908.5</v>
      </c>
      <c r="S50" s="118">
        <f t="shared" si="30"/>
        <v>16349.5</v>
      </c>
      <c r="T50" s="118">
        <f t="shared" si="30"/>
        <v>0</v>
      </c>
      <c r="U50" s="118">
        <f t="shared" si="30"/>
        <v>0</v>
      </c>
      <c r="V50" s="138">
        <f t="shared" si="30"/>
        <v>159834</v>
      </c>
      <c r="W50" s="118">
        <f t="shared" si="30"/>
        <v>0</v>
      </c>
      <c r="X50" s="148">
        <f t="shared" si="8"/>
        <v>99027</v>
      </c>
      <c r="Y50" s="111"/>
      <c r="Z50" s="111"/>
      <c r="AA50" s="125">
        <f>AA51+AA55</f>
        <v>15474</v>
      </c>
      <c r="AB50" s="103">
        <f>AB51+AB55</f>
        <v>83553</v>
      </c>
      <c r="AC50" s="119"/>
    </row>
    <row r="51" spans="2:31" ht="69.75" customHeight="1" x14ac:dyDescent="0.25">
      <c r="B51" s="8"/>
      <c r="C51" s="12" t="s">
        <v>76</v>
      </c>
      <c r="D51" s="25"/>
      <c r="E51" s="9"/>
      <c r="F51" s="22">
        <v>491500</v>
      </c>
      <c r="G51" s="22"/>
      <c r="H51" s="22">
        <v>367500</v>
      </c>
      <c r="I51" s="51">
        <f>SUM(K51:W51)</f>
        <v>268486</v>
      </c>
      <c r="J51" s="42">
        <f>I51/H51</f>
        <v>0.73057414965986389</v>
      </c>
      <c r="K51" s="9">
        <f>K52+K53+K54</f>
        <v>0</v>
      </c>
      <c r="L51" s="9">
        <f t="shared" ref="L51:V51" si="31">L52+L53+L54</f>
        <v>0</v>
      </c>
      <c r="M51" s="9">
        <f t="shared" si="31"/>
        <v>0</v>
      </c>
      <c r="N51" s="9">
        <f t="shared" si="31"/>
        <v>15200</v>
      </c>
      <c r="O51" s="9">
        <f t="shared" si="31"/>
        <v>0</v>
      </c>
      <c r="P51" s="9">
        <f t="shared" si="31"/>
        <v>9200</v>
      </c>
      <c r="Q51" s="9">
        <f t="shared" si="31"/>
        <v>40400</v>
      </c>
      <c r="R51" s="9">
        <f t="shared" si="31"/>
        <v>71500</v>
      </c>
      <c r="S51" s="9">
        <f t="shared" si="31"/>
        <v>2905</v>
      </c>
      <c r="T51" s="9">
        <f t="shared" si="31"/>
        <v>0</v>
      </c>
      <c r="U51" s="9">
        <f t="shared" si="31"/>
        <v>0</v>
      </c>
      <c r="V51" s="137">
        <f t="shared" si="31"/>
        <v>129281</v>
      </c>
      <c r="W51" s="9">
        <f>W52+W53+W54</f>
        <v>0</v>
      </c>
      <c r="X51" s="150">
        <f t="shared" si="8"/>
        <v>99014</v>
      </c>
      <c r="Y51" s="22"/>
      <c r="Z51" s="22"/>
      <c r="AA51" s="126">
        <f t="shared" si="9"/>
        <v>15461</v>
      </c>
      <c r="AB51" s="80">
        <f>SUM(AB52:AB53)</f>
        <v>83553</v>
      </c>
      <c r="AC51" s="81"/>
      <c r="AD51" s="2">
        <v>10000</v>
      </c>
      <c r="AE51" s="158">
        <f>H51-AD51</f>
        <v>357500</v>
      </c>
    </row>
    <row r="52" spans="2:31" ht="21.75" customHeight="1" x14ac:dyDescent="0.25">
      <c r="B52" s="8"/>
      <c r="C52" s="12" t="s">
        <v>41</v>
      </c>
      <c r="D52" s="25"/>
      <c r="E52" s="9"/>
      <c r="F52" s="22"/>
      <c r="G52" s="22"/>
      <c r="H52" s="22"/>
      <c r="I52" s="51">
        <f t="shared" ref="I52:I54" si="32">SUM(K52:W52)</f>
        <v>139623</v>
      </c>
      <c r="J52" s="9"/>
      <c r="K52" s="9"/>
      <c r="L52" s="26"/>
      <c r="M52" s="15"/>
      <c r="N52" s="14"/>
      <c r="O52" s="14"/>
      <c r="P52" s="14"/>
      <c r="Q52" s="26"/>
      <c r="R52" s="14">
        <v>71500</v>
      </c>
      <c r="S52" s="14">
        <v>2905</v>
      </c>
      <c r="T52" s="14"/>
      <c r="U52" s="14"/>
      <c r="V52" s="140">
        <f>139623-74405</f>
        <v>65218</v>
      </c>
      <c r="W52" s="14"/>
      <c r="X52" s="147"/>
      <c r="Y52" s="22">
        <f>133562+6061</f>
        <v>139623</v>
      </c>
      <c r="Z52" s="22"/>
      <c r="AA52" s="126"/>
      <c r="AB52" s="80">
        <f>7575-6061+210150-133562</f>
        <v>78102</v>
      </c>
      <c r="AC52" s="81"/>
    </row>
    <row r="53" spans="2:31" ht="21" customHeight="1" x14ac:dyDescent="0.25">
      <c r="B53" s="8"/>
      <c r="C53" s="12" t="s">
        <v>42</v>
      </c>
      <c r="D53" s="25"/>
      <c r="E53" s="9"/>
      <c r="F53" s="22"/>
      <c r="G53" s="22"/>
      <c r="H53" s="22"/>
      <c r="I53" s="51">
        <f t="shared" si="32"/>
        <v>30463</v>
      </c>
      <c r="J53" s="9"/>
      <c r="K53" s="9"/>
      <c r="L53" s="26"/>
      <c r="M53" s="15"/>
      <c r="N53" s="14"/>
      <c r="O53" s="14"/>
      <c r="P53" s="14"/>
      <c r="Q53" s="26"/>
      <c r="R53" s="14"/>
      <c r="S53" s="14"/>
      <c r="T53" s="14"/>
      <c r="U53" s="14"/>
      <c r="V53" s="140">
        <v>30463</v>
      </c>
      <c r="W53" s="14"/>
      <c r="X53" s="147"/>
      <c r="Y53" s="22">
        <v>30463</v>
      </c>
      <c r="Z53" s="22"/>
      <c r="AA53" s="126"/>
      <c r="AB53" s="80">
        <f>35914-30463</f>
        <v>5451</v>
      </c>
      <c r="AC53" s="81"/>
    </row>
    <row r="54" spans="2:31" ht="22.5" customHeight="1" x14ac:dyDescent="0.25">
      <c r="B54" s="8"/>
      <c r="C54" s="12" t="s">
        <v>47</v>
      </c>
      <c r="D54" s="25"/>
      <c r="E54" s="9"/>
      <c r="F54" s="22"/>
      <c r="G54" s="22"/>
      <c r="H54" s="22"/>
      <c r="I54" s="51">
        <f t="shared" si="32"/>
        <v>98400</v>
      </c>
      <c r="J54" s="9"/>
      <c r="K54" s="9"/>
      <c r="L54" s="26"/>
      <c r="M54" s="15"/>
      <c r="N54" s="14">
        <v>15200</v>
      </c>
      <c r="O54" s="14"/>
      <c r="P54" s="14">
        <v>9200</v>
      </c>
      <c r="Q54" s="26">
        <v>40400</v>
      </c>
      <c r="R54" s="14"/>
      <c r="S54" s="14"/>
      <c r="T54" s="14"/>
      <c r="U54" s="14"/>
      <c r="V54" s="140">
        <f>98400-64800</f>
        <v>33600</v>
      </c>
      <c r="W54" s="14"/>
      <c r="X54" s="147"/>
      <c r="Y54" s="22">
        <f>64800+33600</f>
        <v>98400</v>
      </c>
      <c r="Z54" s="22"/>
      <c r="AA54" s="126"/>
      <c r="AB54" s="80"/>
      <c r="AC54" s="81"/>
    </row>
    <row r="55" spans="2:31" ht="25.5" customHeight="1" x14ac:dyDescent="0.25">
      <c r="B55" s="8"/>
      <c r="C55" s="12" t="s">
        <v>77</v>
      </c>
      <c r="D55" s="25"/>
      <c r="E55" s="9"/>
      <c r="F55" s="22">
        <v>50500</v>
      </c>
      <c r="G55" s="22"/>
      <c r="H55" s="22">
        <f>F55+44000</f>
        <v>94500</v>
      </c>
      <c r="I55" s="51">
        <f t="shared" si="6"/>
        <v>94487</v>
      </c>
      <c r="J55" s="42">
        <f>I55/H55</f>
        <v>0.9998624338624339</v>
      </c>
      <c r="K55" s="9">
        <v>4195</v>
      </c>
      <c r="L55" s="9">
        <v>4195</v>
      </c>
      <c r="M55" s="14">
        <v>4195</v>
      </c>
      <c r="N55" s="14">
        <v>7619.5</v>
      </c>
      <c r="O55" s="14">
        <v>6595.5</v>
      </c>
      <c r="P55" s="14">
        <v>9901</v>
      </c>
      <c r="Q55" s="26">
        <v>10380</v>
      </c>
      <c r="R55" s="14">
        <v>3408.5</v>
      </c>
      <c r="S55" s="89">
        <f>1417+12027.5</f>
        <v>13444.5</v>
      </c>
      <c r="T55" s="14"/>
      <c r="U55" s="14"/>
      <c r="V55" s="140">
        <v>30553</v>
      </c>
      <c r="W55" s="14"/>
      <c r="X55" s="147">
        <f t="shared" si="8"/>
        <v>13</v>
      </c>
      <c r="Y55" s="22">
        <v>43997.5</v>
      </c>
      <c r="Z55" s="22"/>
      <c r="AA55" s="126">
        <f t="shared" si="9"/>
        <v>13</v>
      </c>
      <c r="AB55" s="80"/>
      <c r="AC55" s="81"/>
    </row>
    <row r="56" spans="2:31" ht="23.25" customHeight="1" x14ac:dyDescent="0.25">
      <c r="B56" s="66">
        <v>35030211</v>
      </c>
      <c r="C56" s="66" t="s">
        <v>38</v>
      </c>
      <c r="D56" s="97"/>
      <c r="E56" s="97">
        <f>SUM(E57:E61)</f>
        <v>0</v>
      </c>
      <c r="F56" s="97">
        <f>SUM(F57:F62)</f>
        <v>400000</v>
      </c>
      <c r="G56" s="97"/>
      <c r="H56" s="97">
        <f>SUM(H57:H62)</f>
        <v>400000</v>
      </c>
      <c r="I56" s="68">
        <f>SUM(I57:I62)</f>
        <v>309520</v>
      </c>
      <c r="J56" s="151">
        <f>I56/F56</f>
        <v>0.77380000000000004</v>
      </c>
      <c r="K56" s="97">
        <f>SUM(K57:K65)</f>
        <v>0</v>
      </c>
      <c r="L56" s="97">
        <f t="shared" ref="L56:Q56" si="33">SUM(L57:L65)</f>
        <v>0</v>
      </c>
      <c r="M56" s="97">
        <f t="shared" si="33"/>
        <v>0</v>
      </c>
      <c r="N56" s="97">
        <f t="shared" si="33"/>
        <v>0</v>
      </c>
      <c r="O56" s="97">
        <f t="shared" si="33"/>
        <v>0</v>
      </c>
      <c r="P56" s="97">
        <f t="shared" si="33"/>
        <v>0</v>
      </c>
      <c r="Q56" s="97">
        <f t="shared" si="33"/>
        <v>8500</v>
      </c>
      <c r="R56" s="97">
        <f>SUM(R57:R62)</f>
        <v>10874</v>
      </c>
      <c r="S56" s="97">
        <f>SUM(S57:S62)</f>
        <v>0</v>
      </c>
      <c r="T56" s="97">
        <f t="shared" ref="T56:W56" si="34">SUM(T57:T62)</f>
        <v>0</v>
      </c>
      <c r="U56" s="97">
        <f t="shared" si="34"/>
        <v>0</v>
      </c>
      <c r="V56" s="138">
        <f t="shared" si="34"/>
        <v>290146</v>
      </c>
      <c r="W56" s="97">
        <f t="shared" si="34"/>
        <v>0</v>
      </c>
      <c r="X56" s="149">
        <f t="shared" si="8"/>
        <v>90480</v>
      </c>
      <c r="Y56" s="98"/>
      <c r="Z56" s="98"/>
      <c r="AA56" s="125">
        <f>SUM(AA57:AA62)</f>
        <v>35530</v>
      </c>
      <c r="AB56" s="100">
        <f>SUM(AB57:AB62)</f>
        <v>34950</v>
      </c>
      <c r="AC56" s="152"/>
    </row>
    <row r="57" spans="2:31" ht="23.25" customHeight="1" x14ac:dyDescent="0.25">
      <c r="B57" s="54"/>
      <c r="C57" s="153" t="s">
        <v>67</v>
      </c>
      <c r="D57" s="9"/>
      <c r="E57" s="11"/>
      <c r="F57" s="9">
        <v>100000</v>
      </c>
      <c r="G57" s="9"/>
      <c r="H57" s="9">
        <v>100000</v>
      </c>
      <c r="I57" s="9">
        <f t="shared" si="6"/>
        <v>99500</v>
      </c>
      <c r="J57" s="42">
        <f>I57/F57</f>
        <v>0.995</v>
      </c>
      <c r="K57" s="9"/>
      <c r="L57" s="9"/>
      <c r="M57" s="9"/>
      <c r="N57" s="9"/>
      <c r="O57" s="9"/>
      <c r="P57" s="9"/>
      <c r="Q57" s="9">
        <v>8500</v>
      </c>
      <c r="R57" s="9">
        <v>10500</v>
      </c>
      <c r="S57" s="11"/>
      <c r="T57" s="9"/>
      <c r="U57" s="9"/>
      <c r="V57" s="137">
        <f>80500</f>
        <v>80500</v>
      </c>
      <c r="W57" s="9"/>
      <c r="X57" s="137">
        <f t="shared" si="8"/>
        <v>500</v>
      </c>
      <c r="Y57" s="9">
        <f>24000+41500+34000</f>
        <v>99500</v>
      </c>
      <c r="Z57" s="9"/>
      <c r="AA57" s="126">
        <f t="shared" si="9"/>
        <v>0</v>
      </c>
      <c r="AB57" s="155">
        <f>24500-24000+41500-41500+34000-34000</f>
        <v>500</v>
      </c>
      <c r="AC57" s="85"/>
    </row>
    <row r="58" spans="2:31" ht="36.75" customHeight="1" x14ac:dyDescent="0.25">
      <c r="B58" s="54"/>
      <c r="C58" s="153" t="s">
        <v>68</v>
      </c>
      <c r="D58" s="9"/>
      <c r="E58" s="11"/>
      <c r="F58" s="9">
        <v>65000</v>
      </c>
      <c r="G58" s="9"/>
      <c r="H58" s="9">
        <v>65000</v>
      </c>
      <c r="I58" s="9">
        <f t="shared" si="6"/>
        <v>65000</v>
      </c>
      <c r="J58" s="42">
        <f t="shared" ref="J58:J62" si="35">I58/F58</f>
        <v>1</v>
      </c>
      <c r="K58" s="9"/>
      <c r="L58" s="9"/>
      <c r="M58" s="9"/>
      <c r="N58" s="9"/>
      <c r="O58" s="9"/>
      <c r="P58" s="9"/>
      <c r="Q58" s="11"/>
      <c r="R58" s="11"/>
      <c r="S58" s="11"/>
      <c r="T58" s="9"/>
      <c r="U58" s="9"/>
      <c r="V58" s="137">
        <v>65000</v>
      </c>
      <c r="W58" s="9"/>
      <c r="X58" s="137">
        <f t="shared" si="8"/>
        <v>0</v>
      </c>
      <c r="Y58" s="9">
        <v>65000</v>
      </c>
      <c r="Z58" s="9"/>
      <c r="AA58" s="126">
        <f t="shared" si="9"/>
        <v>0</v>
      </c>
      <c r="AB58" s="155">
        <f>65000-65000</f>
        <v>0</v>
      </c>
      <c r="AC58" s="85"/>
    </row>
    <row r="59" spans="2:31" ht="22.5" customHeight="1" x14ac:dyDescent="0.25">
      <c r="B59" s="12"/>
      <c r="C59" s="25" t="s">
        <v>69</v>
      </c>
      <c r="D59" s="9"/>
      <c r="E59" s="9"/>
      <c r="F59" s="9">
        <v>60000</v>
      </c>
      <c r="G59" s="9"/>
      <c r="H59" s="9">
        <v>60000</v>
      </c>
      <c r="I59" s="9">
        <f t="shared" si="6"/>
        <v>47774</v>
      </c>
      <c r="J59" s="42">
        <f t="shared" si="35"/>
        <v>0.79623333333333335</v>
      </c>
      <c r="K59" s="9"/>
      <c r="L59" s="9"/>
      <c r="M59" s="9"/>
      <c r="N59" s="9"/>
      <c r="O59" s="9"/>
      <c r="P59" s="9"/>
      <c r="Q59" s="9"/>
      <c r="R59" s="9">
        <v>374</v>
      </c>
      <c r="S59" s="9"/>
      <c r="T59" s="9"/>
      <c r="U59" s="9"/>
      <c r="V59" s="137">
        <v>47400</v>
      </c>
      <c r="W59" s="9"/>
      <c r="X59" s="137">
        <f t="shared" si="8"/>
        <v>12226</v>
      </c>
      <c r="Y59" s="9">
        <v>47774</v>
      </c>
      <c r="Z59" s="9"/>
      <c r="AA59" s="126">
        <f t="shared" si="9"/>
        <v>0</v>
      </c>
      <c r="AB59" s="155">
        <f>60000-47774</f>
        <v>12226</v>
      </c>
      <c r="AC59" s="84"/>
    </row>
    <row r="60" spans="2:31" ht="33" customHeight="1" x14ac:dyDescent="0.25">
      <c r="B60" s="12"/>
      <c r="C60" s="25" t="s">
        <v>70</v>
      </c>
      <c r="D60" s="9"/>
      <c r="E60" s="9"/>
      <c r="F60" s="9">
        <v>100000</v>
      </c>
      <c r="G60" s="9"/>
      <c r="H60" s="9">
        <v>100000</v>
      </c>
      <c r="I60" s="9">
        <f t="shared" si="6"/>
        <v>77776</v>
      </c>
      <c r="J60" s="42">
        <f t="shared" si="35"/>
        <v>0.77776000000000001</v>
      </c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137">
        <v>77776</v>
      </c>
      <c r="W60" s="9"/>
      <c r="X60" s="137">
        <f t="shared" si="8"/>
        <v>22224</v>
      </c>
      <c r="Y60" s="9">
        <v>77776</v>
      </c>
      <c r="Z60" s="9"/>
      <c r="AA60" s="126">
        <f t="shared" si="9"/>
        <v>0</v>
      </c>
      <c r="AB60" s="155">
        <f>100000-77776</f>
        <v>22224</v>
      </c>
      <c r="AC60" s="84"/>
    </row>
    <row r="61" spans="2:31" ht="33" customHeight="1" x14ac:dyDescent="0.25">
      <c r="B61" s="12"/>
      <c r="C61" s="156" t="s">
        <v>71</v>
      </c>
      <c r="D61" s="9"/>
      <c r="E61" s="9"/>
      <c r="F61" s="9">
        <v>55000</v>
      </c>
      <c r="G61" s="9"/>
      <c r="H61" s="9">
        <v>55000</v>
      </c>
      <c r="I61" s="9">
        <f t="shared" si="6"/>
        <v>19470</v>
      </c>
      <c r="J61" s="42">
        <f t="shared" si="35"/>
        <v>0.35399999999999998</v>
      </c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137">
        <f>19470</f>
        <v>19470</v>
      </c>
      <c r="W61" s="9"/>
      <c r="X61" s="137">
        <f t="shared" si="8"/>
        <v>35530</v>
      </c>
      <c r="Y61" s="9">
        <f>19470</f>
        <v>19470</v>
      </c>
      <c r="Z61" s="9"/>
      <c r="AA61" s="126">
        <f t="shared" si="9"/>
        <v>35530</v>
      </c>
      <c r="AB61" s="155">
        <f>19470-19470</f>
        <v>0</v>
      </c>
      <c r="AC61" s="84"/>
      <c r="AD61" s="2">
        <v>35000</v>
      </c>
    </row>
    <row r="62" spans="2:31" ht="47.25" customHeight="1" x14ac:dyDescent="0.25">
      <c r="B62" s="12"/>
      <c r="C62" s="156" t="s">
        <v>78</v>
      </c>
      <c r="D62" s="9"/>
      <c r="E62" s="9"/>
      <c r="F62" s="9">
        <v>20000</v>
      </c>
      <c r="G62" s="9"/>
      <c r="H62" s="9">
        <v>20000</v>
      </c>
      <c r="I62" s="9">
        <v>0</v>
      </c>
      <c r="J62" s="42">
        <f t="shared" si="35"/>
        <v>0</v>
      </c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137"/>
      <c r="W62" s="9"/>
      <c r="X62" s="137">
        <f t="shared" si="8"/>
        <v>20000</v>
      </c>
      <c r="Y62" s="9"/>
      <c r="Z62" s="9"/>
      <c r="AA62" s="126"/>
      <c r="AB62" s="155"/>
      <c r="AC62" s="84" t="s">
        <v>95</v>
      </c>
    </row>
    <row r="63" spans="2:31" ht="39" customHeight="1" x14ac:dyDescent="0.25">
      <c r="B63" s="65" t="s">
        <v>84</v>
      </c>
      <c r="C63" s="157" t="s">
        <v>83</v>
      </c>
      <c r="D63" s="64"/>
      <c r="E63" s="64"/>
      <c r="F63" s="11">
        <v>680000</v>
      </c>
      <c r="G63" s="64"/>
      <c r="H63" s="64"/>
      <c r="I63" s="11">
        <f>SUM(K63:W63)</f>
        <v>20440</v>
      </c>
      <c r="J63" s="41">
        <f>I63/F63</f>
        <v>3.0058823529411766E-2</v>
      </c>
      <c r="K63" s="9"/>
      <c r="L63" s="9"/>
      <c r="M63" s="9"/>
      <c r="N63" s="9"/>
      <c r="O63" s="9"/>
      <c r="P63" s="9"/>
      <c r="Q63" s="9"/>
      <c r="R63" s="9"/>
      <c r="S63" s="11">
        <f>S64+S65</f>
        <v>20440</v>
      </c>
      <c r="T63" s="9">
        <f t="shared" ref="T63:W63" si="36">T64+T65</f>
        <v>0</v>
      </c>
      <c r="U63" s="9">
        <f t="shared" si="36"/>
        <v>0</v>
      </c>
      <c r="V63" s="137">
        <f t="shared" si="36"/>
        <v>0</v>
      </c>
      <c r="W63" s="9">
        <f t="shared" si="36"/>
        <v>0</v>
      </c>
      <c r="X63" s="137">
        <f t="shared" si="8"/>
        <v>-20440</v>
      </c>
      <c r="Y63" s="9"/>
      <c r="Z63" s="9"/>
      <c r="AA63" s="154"/>
      <c r="AB63" s="155"/>
      <c r="AC63" s="84"/>
    </row>
    <row r="64" spans="2:31" ht="24" customHeight="1" x14ac:dyDescent="0.25">
      <c r="B64" s="12"/>
      <c r="C64" s="156" t="s">
        <v>41</v>
      </c>
      <c r="D64" s="9"/>
      <c r="E64" s="9"/>
      <c r="F64" s="9"/>
      <c r="G64" s="9"/>
      <c r="H64" s="9"/>
      <c r="I64" s="9"/>
      <c r="J64" s="42"/>
      <c r="K64" s="9"/>
      <c r="L64" s="9"/>
      <c r="M64" s="9"/>
      <c r="N64" s="9"/>
      <c r="O64" s="9"/>
      <c r="P64" s="9"/>
      <c r="Q64" s="9"/>
      <c r="R64" s="9"/>
      <c r="S64" s="9">
        <v>13090</v>
      </c>
      <c r="T64" s="9"/>
      <c r="U64" s="9"/>
      <c r="V64" s="137"/>
      <c r="W64" s="9"/>
      <c r="X64" s="137">
        <f t="shared" si="8"/>
        <v>0</v>
      </c>
      <c r="Y64" s="9"/>
      <c r="Z64" s="9"/>
      <c r="AA64" s="154"/>
      <c r="AB64" s="155"/>
      <c r="AC64" s="84"/>
    </row>
    <row r="65" spans="2:29" ht="24" customHeight="1" x14ac:dyDescent="0.25">
      <c r="B65" s="12"/>
      <c r="C65" s="156" t="s">
        <v>42</v>
      </c>
      <c r="D65" s="9"/>
      <c r="E65" s="9"/>
      <c r="F65" s="9"/>
      <c r="G65" s="9"/>
      <c r="H65" s="9"/>
      <c r="I65" s="9"/>
      <c r="J65" s="42"/>
      <c r="K65" s="9"/>
      <c r="L65" s="9"/>
      <c r="M65" s="9"/>
      <c r="N65" s="9"/>
      <c r="O65" s="9"/>
      <c r="P65" s="9"/>
      <c r="Q65" s="9"/>
      <c r="R65" s="9"/>
      <c r="S65" s="9">
        <v>7350</v>
      </c>
      <c r="T65" s="9"/>
      <c r="U65" s="9"/>
      <c r="V65" s="137"/>
      <c r="W65" s="9"/>
      <c r="X65" s="137">
        <f t="shared" si="8"/>
        <v>0</v>
      </c>
      <c r="Y65" s="9"/>
      <c r="Z65" s="9"/>
      <c r="AA65" s="154"/>
      <c r="AB65" s="155"/>
      <c r="AC65" s="84"/>
    </row>
    <row r="66" spans="2:29" ht="41.25" customHeight="1" x14ac:dyDescent="0.25">
      <c r="B66" s="61"/>
      <c r="C66" s="2"/>
      <c r="D66" s="62"/>
      <c r="E66" s="62"/>
      <c r="F66" s="62"/>
      <c r="G66" s="62"/>
      <c r="H66" s="62"/>
      <c r="I66" s="62"/>
      <c r="J66" s="63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144"/>
      <c r="W66" s="62"/>
      <c r="X66" s="144"/>
      <c r="Y66" s="62"/>
      <c r="Z66" s="62"/>
      <c r="AA66" s="127"/>
      <c r="AB66" s="86"/>
      <c r="AC66" s="87"/>
    </row>
  </sheetData>
  <mergeCells count="19">
    <mergeCell ref="AC5:AC7"/>
    <mergeCell ref="X5:X7"/>
    <mergeCell ref="Y5:Y7"/>
    <mergeCell ref="Z5:Z7"/>
    <mergeCell ref="AA5:AA7"/>
    <mergeCell ref="AB5:AB7"/>
    <mergeCell ref="B2:I2"/>
    <mergeCell ref="B3:V3"/>
    <mergeCell ref="W3:AC3"/>
    <mergeCell ref="B5:B7"/>
    <mergeCell ref="C5:C7"/>
    <mergeCell ref="D5:D7"/>
    <mergeCell ref="E5:E7"/>
    <mergeCell ref="F5:F7"/>
    <mergeCell ref="I5:I6"/>
    <mergeCell ref="J5:J7"/>
    <mergeCell ref="H5:H7"/>
    <mergeCell ref="G5:G7"/>
    <mergeCell ref="K5:W5"/>
  </mergeCells>
  <printOptions horizontalCentered="1"/>
  <pageMargins left="0.19685039370078741" right="0.19685039370078741" top="0.19685039370078741" bottom="0.19685039370078741" header="0" footer="0"/>
  <pageSetup scale="26" fitToHeight="50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1"/>
  <sheetViews>
    <sheetView workbookViewId="0">
      <selection activeCell="H11" sqref="H11"/>
    </sheetView>
  </sheetViews>
  <sheetFormatPr defaultRowHeight="15" x14ac:dyDescent="0.25"/>
  <cols>
    <col min="2" max="2" width="31.28515625" customWidth="1"/>
    <col min="3" max="3" width="15.28515625" customWidth="1"/>
    <col min="4" max="4" width="26.7109375" customWidth="1"/>
    <col min="12" max="12" width="18.42578125" customWidth="1"/>
    <col min="13" max="13" width="18.5703125" customWidth="1"/>
  </cols>
  <sheetData>
    <row r="4" spans="1:4" ht="45.75" customHeight="1" x14ac:dyDescent="0.25">
      <c r="A4" s="53"/>
      <c r="B4" s="54" t="s">
        <v>38</v>
      </c>
      <c r="C4" s="11"/>
      <c r="D4" s="11">
        <f>SUM(D5:D11)</f>
        <v>600000</v>
      </c>
    </row>
    <row r="5" spans="1:4" ht="25.5" x14ac:dyDescent="0.25">
      <c r="A5" s="53"/>
      <c r="B5" s="55" t="s">
        <v>67</v>
      </c>
      <c r="C5" s="9"/>
      <c r="D5" s="9">
        <v>115000</v>
      </c>
    </row>
    <row r="6" spans="1:4" ht="25.5" x14ac:dyDescent="0.25">
      <c r="A6" s="53"/>
      <c r="B6" s="55" t="s">
        <v>82</v>
      </c>
      <c r="C6" s="9"/>
      <c r="D6" s="9">
        <v>75000</v>
      </c>
    </row>
    <row r="7" spans="1:4" ht="25.5" x14ac:dyDescent="0.25">
      <c r="A7" s="53"/>
      <c r="B7" s="55" t="s">
        <v>81</v>
      </c>
      <c r="C7" s="9"/>
      <c r="D7" s="9">
        <v>75000</v>
      </c>
    </row>
    <row r="8" spans="1:4" ht="25.5" x14ac:dyDescent="0.25">
      <c r="A8" s="53"/>
      <c r="B8" s="56" t="s">
        <v>69</v>
      </c>
      <c r="C8" s="9"/>
      <c r="D8" s="9">
        <v>75000</v>
      </c>
    </row>
    <row r="9" spans="1:4" ht="38.25" x14ac:dyDescent="0.25">
      <c r="A9" s="53"/>
      <c r="B9" s="56" t="s">
        <v>70</v>
      </c>
      <c r="C9" s="9"/>
      <c r="D9" s="9">
        <v>115000</v>
      </c>
    </row>
    <row r="10" spans="1:4" ht="25.5" x14ac:dyDescent="0.25">
      <c r="A10" s="53"/>
      <c r="B10" s="57" t="s">
        <v>71</v>
      </c>
      <c r="C10" s="9"/>
      <c r="D10" s="9">
        <v>70000</v>
      </c>
    </row>
    <row r="11" spans="1:4" x14ac:dyDescent="0.25">
      <c r="A11" s="53"/>
      <c r="B11" s="58" t="s">
        <v>80</v>
      </c>
      <c r="C11" s="9"/>
      <c r="D11" s="9">
        <v>75000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2016 წელი</vt:lpstr>
      <vt:lpstr>Sheet1</vt:lpstr>
      <vt:lpstr>'2016 წელი'!Print_Area</vt:lpstr>
      <vt:lpstr>'2016 წელი'!Print_Titles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Ekaterine Adamia</cp:lastModifiedBy>
  <cp:lastPrinted>2016-04-13T13:27:47Z</cp:lastPrinted>
  <dcterms:created xsi:type="dcterms:W3CDTF">2015-03-04T13:53:07Z</dcterms:created>
  <dcterms:modified xsi:type="dcterms:W3CDTF">2016-10-28T09:09:08Z</dcterms:modified>
</cp:coreProperties>
</file>